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ss\Desktop\для сесії\"/>
    </mc:Choice>
  </mc:AlternateContent>
  <bookViews>
    <workbookView xWindow="0" yWindow="0" windowWidth="20490" windowHeight="7650"/>
  </bookViews>
  <sheets>
    <sheet name="школа 01.01.21 (2)" sheetId="2" r:id="rId1"/>
  </sheets>
  <definedNames>
    <definedName name="_xlnm.Print_Area" localSheetId="0">'школа 01.01.21 (2)'!$A$1:$Z$48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2" l="1"/>
  <c r="I21" i="2"/>
  <c r="K48" i="2" l="1"/>
  <c r="Y47" i="2"/>
  <c r="X47" i="2"/>
  <c r="X48" i="2" s="1"/>
  <c r="S47" i="2"/>
  <c r="S48" i="2" s="1"/>
  <c r="Q47" i="2"/>
  <c r="P47" i="2"/>
  <c r="O47" i="2"/>
  <c r="N47" i="2"/>
  <c r="I47" i="2"/>
  <c r="H47" i="2"/>
  <c r="G47" i="2"/>
  <c r="F47" i="2"/>
  <c r="D47" i="2"/>
  <c r="C47" i="2"/>
  <c r="E46" i="2"/>
  <c r="E45" i="2"/>
  <c r="V45" i="2" s="1"/>
  <c r="S44" i="2"/>
  <c r="E44" i="2"/>
  <c r="U43" i="2"/>
  <c r="W43" i="2" s="1"/>
  <c r="Z43" i="2" s="1"/>
  <c r="E43" i="2"/>
  <c r="V43" i="2" s="1"/>
  <c r="V42" i="2"/>
  <c r="E42" i="2"/>
  <c r="W42" i="2" s="1"/>
  <c r="Z42" i="2" s="1"/>
  <c r="U41" i="2"/>
  <c r="J41" i="2"/>
  <c r="E41" i="2"/>
  <c r="E40" i="2"/>
  <c r="J39" i="2"/>
  <c r="J47" i="2" s="1"/>
  <c r="E39" i="2"/>
  <c r="E47" i="2" s="1"/>
  <c r="Y38" i="2"/>
  <c r="Y48" i="2" s="1"/>
  <c r="X38" i="2"/>
  <c r="V38" i="2"/>
  <c r="U38" i="2"/>
  <c r="S38" i="2"/>
  <c r="R38" i="2"/>
  <c r="N38" i="2"/>
  <c r="N48" i="2" s="1"/>
  <c r="M38" i="2"/>
  <c r="H38" i="2"/>
  <c r="H48" i="2" s="1"/>
  <c r="G38" i="2"/>
  <c r="G48" i="2" s="1"/>
  <c r="F38" i="2"/>
  <c r="F48" i="2" s="1"/>
  <c r="C38" i="2"/>
  <c r="C48" i="2" s="1"/>
  <c r="L35" i="2"/>
  <c r="I35" i="2"/>
  <c r="W35" i="2" s="1"/>
  <c r="Z35" i="2" s="1"/>
  <c r="E35" i="2"/>
  <c r="D35" i="2"/>
  <c r="Q34" i="2"/>
  <c r="L34" i="2"/>
  <c r="W34" i="2" s="1"/>
  <c r="Z34" i="2" s="1"/>
  <c r="I34" i="2"/>
  <c r="D34" i="2"/>
  <c r="L33" i="2"/>
  <c r="L32" i="2"/>
  <c r="E32" i="2"/>
  <c r="D32" i="2"/>
  <c r="L31" i="2"/>
  <c r="L30" i="2"/>
  <c r="P29" i="2"/>
  <c r="P38" i="2" s="1"/>
  <c r="P48" i="2" s="1"/>
  <c r="O29" i="2"/>
  <c r="I29" i="2"/>
  <c r="E29" i="2"/>
  <c r="W29" i="2" s="1"/>
  <c r="Z29" i="2" s="1"/>
  <c r="D29" i="2"/>
  <c r="L28" i="2"/>
  <c r="Q26" i="2"/>
  <c r="Q38" i="2" s="1"/>
  <c r="Q48" i="2" s="1"/>
  <c r="P26" i="2"/>
  <c r="O26" i="2"/>
  <c r="O38" i="2" s="1"/>
  <c r="O48" i="2" s="1"/>
  <c r="L26" i="2"/>
  <c r="I26" i="2"/>
  <c r="E26" i="2"/>
  <c r="D26" i="2"/>
  <c r="L25" i="2"/>
  <c r="L24" i="2"/>
  <c r="E24" i="2"/>
  <c r="D24" i="2"/>
  <c r="E23" i="2"/>
  <c r="I22" i="2"/>
  <c r="E22" i="2"/>
  <c r="L22" i="2" s="1"/>
  <c r="W22" i="2" s="1"/>
  <c r="Z22" i="2" s="1"/>
  <c r="D21" i="2"/>
  <c r="E20" i="2"/>
  <c r="U45" i="2" l="1"/>
  <c r="W45" i="2" s="1"/>
  <c r="Z45" i="2" s="1"/>
  <c r="L20" i="2"/>
  <c r="W23" i="2"/>
  <c r="Z23" i="2" s="1"/>
  <c r="I23" i="2"/>
  <c r="W24" i="2"/>
  <c r="Z24" i="2" s="1"/>
  <c r="I24" i="2"/>
  <c r="W32" i="2"/>
  <c r="Z32" i="2" s="1"/>
  <c r="I32" i="2"/>
  <c r="W41" i="2"/>
  <c r="Z41" i="2" s="1"/>
  <c r="J20" i="2"/>
  <c r="D38" i="2"/>
  <c r="D48" i="2" s="1"/>
  <c r="E21" i="2"/>
  <c r="L23" i="2"/>
  <c r="W26" i="2"/>
  <c r="Z26" i="2" s="1"/>
  <c r="R40" i="2"/>
  <c r="R47" i="2" s="1"/>
  <c r="R48" i="2" s="1"/>
  <c r="V44" i="2"/>
  <c r="W44" i="2" s="1"/>
  <c r="Z44" i="2" s="1"/>
  <c r="V46" i="2"/>
  <c r="V39" i="2"/>
  <c r="M40" i="2"/>
  <c r="M47" i="2" s="1"/>
  <c r="M48" i="2" s="1"/>
  <c r="L41" i="2"/>
  <c r="L47" i="2" s="1"/>
  <c r="U46" i="2"/>
  <c r="U47" i="2" l="1"/>
  <c r="U48" i="2" s="1"/>
  <c r="W46" i="2"/>
  <c r="Z46" i="2" s="1"/>
  <c r="W40" i="2"/>
  <c r="Z40" i="2" s="1"/>
  <c r="J21" i="2"/>
  <c r="W21" i="2" s="1"/>
  <c r="Z21" i="2" s="1"/>
  <c r="L21" i="2"/>
  <c r="I38" i="2"/>
  <c r="I48" i="2" s="1"/>
  <c r="V47" i="2"/>
  <c r="V48" i="2" s="1"/>
  <c r="W39" i="2"/>
  <c r="E38" i="2"/>
  <c r="E48" i="2" s="1"/>
  <c r="W20" i="2"/>
  <c r="L38" i="2"/>
  <c r="L48" i="2" s="1"/>
  <c r="Z20" i="2" l="1"/>
  <c r="Z38" i="2" s="1"/>
  <c r="W38" i="2"/>
  <c r="W47" i="2"/>
  <c r="AA47" i="2" s="1"/>
  <c r="Z39" i="2"/>
  <c r="Z47" i="2" s="1"/>
  <c r="J38" i="2"/>
  <c r="J48" i="2" s="1"/>
  <c r="W48" i="2" l="1"/>
  <c r="AA38" i="2"/>
  <c r="Z48" i="2"/>
  <c r="AA48" i="2" l="1"/>
</calcChain>
</file>

<file path=xl/comments1.xml><?xml version="1.0" encoding="utf-8"?>
<comments xmlns="http://schemas.openxmlformats.org/spreadsheetml/2006/main">
  <authors>
    <author>Автор</author>
  </authors>
  <commentList>
    <comment ref="S44" authorId="0" shapeId="0">
      <text>
        <r>
          <rPr>
            <sz val="9"/>
            <color indexed="81"/>
            <rFont val="Tahoma"/>
            <family val="2"/>
            <charset val="204"/>
          </rPr>
          <t xml:space="preserve">Нічні=мін.зароб.плата : норму робочих годин на місяць + 40% * 23 год. роб. на добу
</t>
        </r>
      </text>
    </comment>
  </commentList>
</comments>
</file>

<file path=xl/sharedStrings.xml><?xml version="1.0" encoding="utf-8"?>
<sst xmlns="http://schemas.openxmlformats.org/spreadsheetml/2006/main" count="60" uniqueCount="59">
  <si>
    <r>
      <t xml:space="preserve">                     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       Штатний розпис</t>
    </r>
  </si>
  <si>
    <t>№</t>
  </si>
  <si>
    <t>Посада</t>
  </si>
  <si>
    <t>Кількість штатних одиниць</t>
  </si>
  <si>
    <t>Посадовий оклад грн.</t>
  </si>
  <si>
    <t>Оклад за кількістю штатних одиниць з підвищеннями</t>
  </si>
  <si>
    <t>Підвищення</t>
  </si>
  <si>
    <t xml:space="preserve">За складн. напруж. у роботі Рішення сесії 30% </t>
  </si>
  <si>
    <t>Надбавка</t>
  </si>
  <si>
    <t>Доплата</t>
  </si>
  <si>
    <t>Доплата до МЗП</t>
  </si>
  <si>
    <t>Щорічна грошова винагорода</t>
  </si>
  <si>
    <t xml:space="preserve">Допомога на оздоровлення </t>
  </si>
  <si>
    <t>За роботу в логопед, груп. 20%</t>
  </si>
  <si>
    <t>За звання  10% від посад. окладу</t>
  </si>
  <si>
    <t xml:space="preserve">За кількість   дітей </t>
  </si>
  <si>
    <t>Вислуга років</t>
  </si>
  <si>
    <t>За книжк фонд 5%</t>
  </si>
  <si>
    <t>Керівництво школою</t>
  </si>
  <si>
    <t>за класне керівництво 20%</t>
  </si>
  <si>
    <t>перевірка зошитів 15%</t>
  </si>
  <si>
    <t>за роботу в інклюзивних класах</t>
  </si>
  <si>
    <t>50%бібліотекарям Постанови КМУ №1250 від 30.09.09</t>
  </si>
  <si>
    <t>За роботу в нічний час 40 %</t>
  </si>
  <si>
    <t>За несприятливі умови праці , старшинство</t>
  </si>
  <si>
    <t>%</t>
  </si>
  <si>
    <t>сума</t>
  </si>
  <si>
    <t>Сума</t>
  </si>
  <si>
    <t xml:space="preserve">Директор </t>
  </si>
  <si>
    <t>Заступник директора з навч. виховних робіт</t>
  </si>
  <si>
    <t>Практичний психолог</t>
  </si>
  <si>
    <t>Соціальний педагог</t>
  </si>
  <si>
    <t>Педагог-організатор</t>
  </si>
  <si>
    <t>Вчитель 1-4 класів</t>
  </si>
  <si>
    <t>Вчитель 5-9 класів</t>
  </si>
  <si>
    <t>Керівник гуртка ЗОШ</t>
  </si>
  <si>
    <t xml:space="preserve">Асистент вчителя </t>
  </si>
  <si>
    <t>Вихователь ГПД</t>
  </si>
  <si>
    <t>Всього педзарплата</t>
  </si>
  <si>
    <t>Заступник директора з господарчої роботи</t>
  </si>
  <si>
    <t>Бібліотекар</t>
  </si>
  <si>
    <t>Медсестра</t>
  </si>
  <si>
    <t>Робітник з комплексного обслуговування</t>
  </si>
  <si>
    <t>Прибиральник службових приміщень</t>
  </si>
  <si>
    <t>Сторож</t>
  </si>
  <si>
    <t>Секретар-друкарка</t>
  </si>
  <si>
    <t>Двірник</t>
  </si>
  <si>
    <t>Всього МОП</t>
  </si>
  <si>
    <t>ВСЬОГО</t>
  </si>
  <si>
    <t xml:space="preserve">                                                             </t>
  </si>
  <si>
    <t xml:space="preserve">Директор  НВК                                                    </t>
  </si>
  <si>
    <t>Головний бухгалтер</t>
  </si>
  <si>
    <t>Н.Л. Бутенко</t>
  </si>
  <si>
    <t>Фонд заробітної плати на місяць січень-червень</t>
  </si>
  <si>
    <t>Річний фонд зарплати на січень-червень</t>
  </si>
  <si>
    <t xml:space="preserve">престижність, ПКМУ № 373 педагогічним працівникам 20% </t>
  </si>
  <si>
    <t xml:space="preserve">Здвижівське навчально-виховне об`єднання "загальноосвітня школа І-ІІ ступенів </t>
  </si>
  <si>
    <t>Додаток 2 до рішення Бучанської міської ради</t>
  </si>
  <si>
    <t>від "___" грудня 2020 року № _____-____-VIII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</si>
</sst>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9"/>
      <color indexed="81"/>
      <name val="Tahoma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52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3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/>
    <xf numFmtId="4" fontId="2" fillId="2" borderId="0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8" fillId="2" borderId="0" xfId="0" applyFont="1" applyFill="1" applyAlignment="1"/>
    <xf numFmtId="0" fontId="2" fillId="2" borderId="0" xfId="0" applyFont="1" applyFill="1" applyBorder="1" applyAlignment="1">
      <alignment horizontal="left"/>
    </xf>
    <xf numFmtId="0" fontId="4" fillId="2" borderId="0" xfId="0" applyFont="1" applyFill="1"/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0" fillId="2" borderId="0" xfId="0" applyFont="1" applyFill="1"/>
    <xf numFmtId="0" fontId="4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5" fillId="2" borderId="4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vertical="center" wrapText="1"/>
    </xf>
    <xf numFmtId="0" fontId="3" fillId="2" borderId="0" xfId="1" applyFont="1" applyFill="1"/>
    <xf numFmtId="0" fontId="5" fillId="2" borderId="8" xfId="1" applyFont="1" applyFill="1" applyBorder="1" applyAlignment="1">
      <alignment vertical="center" wrapText="1"/>
    </xf>
    <xf numFmtId="0" fontId="5" fillId="2" borderId="0" xfId="1" applyFont="1" applyFill="1" applyBorder="1" applyAlignment="1">
      <alignment vertical="center" wrapText="1"/>
    </xf>
    <xf numFmtId="0" fontId="5" fillId="2" borderId="9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5" fillId="2" borderId="11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2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2" applyNumberFormat="1" applyFont="1" applyFill="1" applyBorder="1" applyAlignment="1">
      <alignment horizontal="center" vertical="center" wrapText="1"/>
    </xf>
    <xf numFmtId="9" fontId="5" fillId="0" borderId="3" xfId="1" applyNumberFormat="1" applyFont="1" applyFill="1" applyBorder="1" applyAlignment="1">
      <alignment horizontal="center" vertical="center" wrapText="1"/>
    </xf>
    <xf numFmtId="2" fontId="5" fillId="2" borderId="3" xfId="1" applyNumberFormat="1" applyFont="1" applyFill="1" applyBorder="1" applyAlignment="1">
      <alignment horizontal="center" vertical="center" wrapText="1"/>
    </xf>
    <xf numFmtId="9" fontId="5" fillId="2" borderId="3" xfId="1" applyNumberFormat="1" applyFont="1" applyFill="1" applyBorder="1" applyAlignment="1">
      <alignment horizontal="center" vertical="center" wrapText="1"/>
    </xf>
    <xf numFmtId="4" fontId="5" fillId="2" borderId="3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9" fontId="5" fillId="0" borderId="2" xfId="1" applyNumberFormat="1" applyFont="1" applyFill="1" applyBorder="1" applyAlignment="1">
      <alignment horizontal="center" vertical="center" wrapText="1"/>
    </xf>
    <xf numFmtId="2" fontId="5" fillId="2" borderId="2" xfId="1" applyNumberFormat="1" applyFont="1" applyFill="1" applyBorder="1" applyAlignment="1">
      <alignment horizontal="center" vertical="center" wrapText="1"/>
    </xf>
    <xf numFmtId="0" fontId="5" fillId="2" borderId="3" xfId="2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2" fontId="5" fillId="2" borderId="2" xfId="1" applyNumberFormat="1" applyFont="1" applyFill="1" applyBorder="1" applyAlignment="1">
      <alignment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2" fontId="5" fillId="0" borderId="2" xfId="2" applyNumberFormat="1" applyFont="1" applyFill="1" applyBorder="1" applyAlignment="1">
      <alignment horizontal="center" vertical="center" wrapText="1"/>
    </xf>
    <xf numFmtId="0" fontId="5" fillId="2" borderId="3" xfId="1" applyFont="1" applyFill="1" applyBorder="1"/>
    <xf numFmtId="2" fontId="5" fillId="0" borderId="2" xfId="1" applyNumberFormat="1" applyFont="1" applyFill="1" applyBorder="1" applyAlignment="1">
      <alignment vertical="center" wrapText="1"/>
    </xf>
    <xf numFmtId="0" fontId="5" fillId="0" borderId="0" xfId="1" applyFont="1" applyFill="1"/>
    <xf numFmtId="0" fontId="5" fillId="0" borderId="0" xfId="1" applyFont="1" applyFill="1" applyBorder="1"/>
    <xf numFmtId="2" fontId="5" fillId="0" borderId="7" xfId="1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vertical="center" wrapText="1"/>
    </xf>
    <xf numFmtId="2" fontId="12" fillId="0" borderId="2" xfId="1" applyNumberFormat="1" applyFont="1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5" fillId="2" borderId="0" xfId="1" applyFont="1" applyFill="1" applyBorder="1"/>
    <xf numFmtId="0" fontId="5" fillId="2" borderId="14" xfId="1" applyFont="1" applyFill="1" applyBorder="1"/>
    <xf numFmtId="0" fontId="5" fillId="2" borderId="2" xfId="1" applyFont="1" applyFill="1" applyBorder="1" applyAlignment="1">
      <alignment vertical="center" wrapText="1"/>
    </xf>
    <xf numFmtId="2" fontId="5" fillId="0" borderId="3" xfId="1" applyNumberFormat="1" applyFont="1" applyFill="1" applyBorder="1" applyAlignment="1">
      <alignment vertical="center" wrapText="1"/>
    </xf>
    <xf numFmtId="2" fontId="5" fillId="2" borderId="3" xfId="1" applyNumberFormat="1" applyFont="1" applyFill="1" applyBorder="1" applyAlignment="1">
      <alignment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3" xfId="2" applyNumberFormat="1" applyFont="1" applyFill="1" applyBorder="1" applyAlignment="1">
      <alignment horizontal="center" vertical="center" wrapText="1"/>
    </xf>
    <xf numFmtId="4" fontId="5" fillId="2" borderId="0" xfId="1" applyNumberFormat="1" applyFont="1" applyFill="1"/>
    <xf numFmtId="4" fontId="2" fillId="2" borderId="3" xfId="1" applyNumberFormat="1" applyFont="1" applyFill="1" applyBorder="1"/>
    <xf numFmtId="0" fontId="5" fillId="2" borderId="13" xfId="1" applyNumberFormat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left" vertical="center" wrapText="1"/>
    </xf>
    <xf numFmtId="165" fontId="5" fillId="0" borderId="13" xfId="2" applyNumberFormat="1" applyFont="1" applyFill="1" applyBorder="1" applyAlignment="1">
      <alignment horizontal="center" vertical="center" wrapText="1"/>
    </xf>
    <xf numFmtId="2" fontId="5" fillId="0" borderId="13" xfId="2" applyNumberFormat="1" applyFont="1" applyFill="1" applyBorder="1" applyAlignment="1">
      <alignment horizontal="center" vertical="center" wrapText="1"/>
    </xf>
    <xf numFmtId="1" fontId="5" fillId="0" borderId="13" xfId="2" applyNumberFormat="1" applyFont="1" applyFill="1" applyBorder="1" applyAlignment="1">
      <alignment horizontal="center" vertical="center" wrapText="1"/>
    </xf>
    <xf numFmtId="2" fontId="5" fillId="0" borderId="13" xfId="1" applyNumberFormat="1" applyFont="1" applyFill="1" applyBorder="1" applyAlignment="1">
      <alignment horizontal="center" vertical="center" wrapText="1"/>
    </xf>
    <xf numFmtId="4" fontId="5" fillId="2" borderId="13" xfId="1" applyNumberFormat="1" applyFont="1" applyFill="1" applyBorder="1" applyAlignment="1">
      <alignment horizontal="center" vertical="center" wrapText="1"/>
    </xf>
    <xf numFmtId="4" fontId="5" fillId="2" borderId="13" xfId="2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2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4" fontId="5" fillId="2" borderId="2" xfId="2" applyNumberFormat="1" applyFont="1" applyFill="1" applyBorder="1" applyAlignment="1">
      <alignment vertical="center" wrapText="1"/>
    </xf>
    <xf numFmtId="0" fontId="5" fillId="0" borderId="3" xfId="2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1" fontId="5" fillId="0" borderId="3" xfId="1" applyNumberFormat="1" applyFont="1" applyFill="1" applyBorder="1" applyAlignment="1">
      <alignment horizontal="center" vertical="center" wrapText="1"/>
    </xf>
    <xf numFmtId="164" fontId="5" fillId="0" borderId="3" xfId="2" applyFont="1" applyFill="1" applyBorder="1" applyAlignment="1">
      <alignment horizontal="center" vertical="center" wrapText="1"/>
    </xf>
    <xf numFmtId="4" fontId="5" fillId="0" borderId="13" xfId="1" applyNumberFormat="1" applyFont="1" applyFill="1" applyBorder="1" applyAlignment="1">
      <alignment horizontal="center" vertical="center" wrapText="1"/>
    </xf>
    <xf numFmtId="4" fontId="3" fillId="2" borderId="0" xfId="1" applyNumberFormat="1" applyFont="1" applyFill="1"/>
    <xf numFmtId="4" fontId="2" fillId="2" borderId="0" xfId="1" applyNumberFormat="1" applyFont="1" applyFill="1"/>
    <xf numFmtId="2" fontId="13" fillId="2" borderId="0" xfId="1" applyNumberFormat="1" applyFont="1" applyFill="1"/>
    <xf numFmtId="0" fontId="11" fillId="2" borderId="0" xfId="1" applyFont="1" applyFill="1"/>
    <xf numFmtId="0" fontId="11" fillId="2" borderId="0" xfId="1" applyFont="1" applyFill="1" applyAlignment="1"/>
    <xf numFmtId="0" fontId="11" fillId="2" borderId="1" xfId="1" applyFont="1" applyFill="1" applyBorder="1" applyAlignment="1"/>
    <xf numFmtId="0" fontId="11" fillId="2" borderId="0" xfId="1" applyFont="1" applyFill="1" applyAlignment="1">
      <alignment horizontal="center"/>
    </xf>
    <xf numFmtId="0" fontId="14" fillId="2" borderId="1" xfId="1" applyFont="1" applyFill="1" applyBorder="1"/>
    <xf numFmtId="0" fontId="11" fillId="2" borderId="1" xfId="1" applyFont="1" applyFill="1" applyBorder="1"/>
    <xf numFmtId="0" fontId="14" fillId="2" borderId="0" xfId="1" applyFont="1" applyFill="1"/>
    <xf numFmtId="0" fontId="15" fillId="2" borderId="0" xfId="1" applyFont="1" applyFill="1"/>
    <xf numFmtId="0" fontId="2" fillId="2" borderId="0" xfId="1" applyFont="1" applyFill="1" applyAlignment="1"/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 wrapText="1"/>
    </xf>
    <xf numFmtId="0" fontId="5" fillId="2" borderId="7" xfId="1" applyFont="1" applyFill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2" fontId="5" fillId="0" borderId="7" xfId="1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2" fontId="5" fillId="0" borderId="2" xfId="2" applyNumberFormat="1" applyFont="1" applyFill="1" applyBorder="1" applyAlignment="1">
      <alignment horizontal="center" vertical="center" wrapText="1"/>
    </xf>
    <xf numFmtId="2" fontId="5" fillId="0" borderId="7" xfId="2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4" fontId="5" fillId="0" borderId="7" xfId="1" applyNumberFormat="1" applyFont="1" applyFill="1" applyBorder="1" applyAlignment="1">
      <alignment horizontal="center" vertical="center" wrapText="1"/>
    </xf>
    <xf numFmtId="4" fontId="5" fillId="0" borderId="13" xfId="1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4" fontId="5" fillId="2" borderId="7" xfId="1" applyNumberFormat="1" applyFont="1" applyFill="1" applyBorder="1" applyAlignment="1">
      <alignment horizontal="center" vertical="center" wrapText="1"/>
    </xf>
    <xf numFmtId="4" fontId="5" fillId="2" borderId="13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5" fontId="0" fillId="0" borderId="7" xfId="0" applyNumberFormat="1" applyFill="1" applyBorder="1" applyAlignment="1">
      <alignment horizontal="center" vertical="center" wrapText="1"/>
    </xf>
    <xf numFmtId="165" fontId="0" fillId="0" borderId="13" xfId="0" applyNumberForma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vertical="center" wrapText="1"/>
    </xf>
    <xf numFmtId="2" fontId="5" fillId="0" borderId="13" xfId="1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2" fontId="5" fillId="0" borderId="13" xfId="2" applyNumberFormat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Штати НВК Берізка на 01.01.15р." xfId="1"/>
    <cellStyle name="Финансовый_Штати НВК Берізка на 01.01.15р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H52"/>
  <sheetViews>
    <sheetView tabSelected="1" view="pageBreakPreview" zoomScale="85" zoomScaleNormal="75" zoomScaleSheetLayoutView="85" workbookViewId="0">
      <selection activeCell="U4" sqref="U4:Z4"/>
    </sheetView>
  </sheetViews>
  <sheetFormatPr defaultRowHeight="12.75" x14ac:dyDescent="0.2"/>
  <cols>
    <col min="1" max="1" width="4.7109375" style="1" customWidth="1"/>
    <col min="2" max="2" width="23.28515625" style="1" customWidth="1"/>
    <col min="3" max="3" width="7.5703125" style="1" customWidth="1"/>
    <col min="4" max="4" width="12.5703125" style="1" customWidth="1"/>
    <col min="5" max="5" width="11.5703125" style="1" customWidth="1"/>
    <col min="6" max="6" width="10.140625" style="1" hidden="1" customWidth="1"/>
    <col min="7" max="7" width="8.85546875" style="1" hidden="1" customWidth="1"/>
    <col min="8" max="8" width="7.5703125" style="1" hidden="1" customWidth="1"/>
    <col min="9" max="9" width="11" style="1" customWidth="1"/>
    <col min="10" max="10" width="10.28515625" style="1" customWidth="1"/>
    <col min="11" max="11" width="6.7109375" style="1" customWidth="1"/>
    <col min="12" max="12" width="10.140625" style="1" customWidth="1"/>
    <col min="13" max="13" width="7.7109375" style="1" customWidth="1"/>
    <col min="14" max="14" width="10.140625" style="1" customWidth="1"/>
    <col min="15" max="15" width="9" style="1" customWidth="1"/>
    <col min="16" max="16" width="9.7109375" style="1" customWidth="1"/>
    <col min="17" max="17" width="8.85546875" style="1" customWidth="1"/>
    <col min="18" max="18" width="9.5703125" style="1" customWidth="1"/>
    <col min="19" max="19" width="10.28515625" style="1" customWidth="1"/>
    <col min="20" max="20" width="7.42578125" style="1" customWidth="1"/>
    <col min="21" max="21" width="9" style="1" customWidth="1"/>
    <col min="22" max="22" width="10.28515625" style="1" customWidth="1"/>
    <col min="23" max="23" width="12.28515625" style="1" customWidth="1"/>
    <col min="24" max="25" width="11.140625" style="1" customWidth="1"/>
    <col min="26" max="26" width="14.140625" style="1" customWidth="1"/>
    <col min="27" max="27" width="13.28515625" style="1" bestFit="1" customWidth="1"/>
    <col min="28" max="16384" width="9.140625" style="1"/>
  </cols>
  <sheetData>
    <row r="1" spans="1:27" ht="14.25" x14ac:dyDescent="0.2">
      <c r="S1" s="142"/>
      <c r="T1" s="142"/>
      <c r="U1" s="142"/>
      <c r="V1" s="142"/>
      <c r="W1" s="142"/>
      <c r="X1" s="2"/>
      <c r="Y1" s="3"/>
      <c r="Z1" s="3"/>
      <c r="AA1" s="4"/>
    </row>
    <row r="2" spans="1:27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6"/>
      <c r="T2" s="6"/>
      <c r="U2" s="7"/>
      <c r="V2" s="6"/>
      <c r="W2" s="6"/>
      <c r="X2" s="6"/>
      <c r="Y2" s="6"/>
      <c r="Z2" s="6"/>
      <c r="AA2" s="4"/>
    </row>
    <row r="3" spans="1:27" ht="15" x14ac:dyDescent="0.25">
      <c r="A3" s="5"/>
      <c r="B3" s="5"/>
      <c r="C3" s="8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9"/>
      <c r="T3" s="9"/>
      <c r="U3" s="150" t="s">
        <v>57</v>
      </c>
      <c r="V3" s="150"/>
      <c r="W3" s="150"/>
      <c r="X3" s="150"/>
      <c r="Y3" s="150"/>
      <c r="Z3" s="150"/>
      <c r="AA3" s="4"/>
    </row>
    <row r="4" spans="1:27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10"/>
      <c r="T4" s="9"/>
      <c r="U4" s="150" t="s">
        <v>58</v>
      </c>
      <c r="V4" s="150"/>
      <c r="W4" s="150"/>
      <c r="X4" s="150"/>
      <c r="Y4" s="150"/>
      <c r="Z4" s="150"/>
      <c r="AA4" s="4"/>
    </row>
    <row r="5" spans="1:27" s="13" customFormat="1" ht="15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2"/>
      <c r="U5" s="14"/>
      <c r="V5" s="14"/>
      <c r="W5" s="14"/>
      <c r="X5" s="15"/>
      <c r="Y5" s="15"/>
      <c r="Z5" s="16"/>
      <c r="AA5" s="17"/>
    </row>
    <row r="6" spans="1:27" s="13" customFormat="1" ht="15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4"/>
      <c r="T6" s="18"/>
      <c r="U6" s="14"/>
      <c r="V6" s="14"/>
      <c r="W6" s="14"/>
      <c r="X6" s="15"/>
      <c r="Y6" s="15"/>
      <c r="Z6" s="16"/>
      <c r="AA6" s="17"/>
    </row>
    <row r="7" spans="1:27" s="20" customFormat="1" ht="16.5" customHeight="1" x14ac:dyDescent="0.3">
      <c r="A7" s="19" t="s">
        <v>0</v>
      </c>
      <c r="D7" s="21"/>
      <c r="E7" s="21"/>
      <c r="F7" s="21"/>
      <c r="G7" s="21"/>
      <c r="H7" s="22"/>
      <c r="I7" s="22"/>
      <c r="J7" s="22"/>
      <c r="K7" s="22"/>
      <c r="L7" s="22"/>
      <c r="M7" s="22"/>
      <c r="N7" s="22"/>
      <c r="O7" s="22"/>
      <c r="P7" s="22"/>
      <c r="Q7" s="21"/>
      <c r="R7" s="21"/>
      <c r="S7" s="23"/>
      <c r="T7" s="23"/>
      <c r="U7" s="24"/>
      <c r="V7" s="25"/>
      <c r="W7" s="26"/>
    </row>
    <row r="8" spans="1:27" s="13" customFormat="1" ht="18.75" x14ac:dyDescent="0.2">
      <c r="A8" s="27"/>
      <c r="B8" s="149" t="s">
        <v>56</v>
      </c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29"/>
      <c r="T8" s="28"/>
      <c r="U8" s="28"/>
      <c r="V8" s="28"/>
      <c r="W8" s="28"/>
      <c r="X8" s="28"/>
      <c r="Y8" s="28"/>
      <c r="Z8" s="28"/>
    </row>
    <row r="9" spans="1:27" s="33" customFormat="1" ht="15" customHeight="1" x14ac:dyDescent="0.2">
      <c r="A9" s="106" t="s">
        <v>1</v>
      </c>
      <c r="B9" s="106" t="s">
        <v>2</v>
      </c>
      <c r="C9" s="106" t="s">
        <v>3</v>
      </c>
      <c r="D9" s="138" t="s">
        <v>4</v>
      </c>
      <c r="E9" s="151" t="s">
        <v>5</v>
      </c>
      <c r="F9" s="30" t="s">
        <v>6</v>
      </c>
      <c r="G9" s="31"/>
      <c r="H9" s="32"/>
      <c r="I9" s="138" t="s">
        <v>55</v>
      </c>
      <c r="J9" s="138" t="s">
        <v>7</v>
      </c>
      <c r="K9" s="143" t="s">
        <v>8</v>
      </c>
      <c r="L9" s="144"/>
      <c r="M9" s="143" t="s">
        <v>9</v>
      </c>
      <c r="N9" s="143"/>
      <c r="O9" s="143"/>
      <c r="P9" s="143"/>
      <c r="Q9" s="143"/>
      <c r="R9" s="143"/>
      <c r="S9" s="143"/>
      <c r="T9" s="143"/>
      <c r="U9" s="144"/>
      <c r="V9" s="106" t="s">
        <v>10</v>
      </c>
      <c r="W9" s="106" t="s">
        <v>53</v>
      </c>
      <c r="X9" s="106" t="s">
        <v>11</v>
      </c>
      <c r="Y9" s="106" t="s">
        <v>12</v>
      </c>
      <c r="Z9" s="138" t="s">
        <v>54</v>
      </c>
    </row>
    <row r="10" spans="1:27" s="33" customFormat="1" ht="15" hidden="1" customHeight="1" x14ac:dyDescent="0.2">
      <c r="A10" s="107"/>
      <c r="B10" s="107"/>
      <c r="C10" s="107"/>
      <c r="D10" s="138"/>
      <c r="E10" s="151"/>
      <c r="F10" s="34"/>
      <c r="G10" s="35"/>
      <c r="H10" s="36"/>
      <c r="I10" s="138"/>
      <c r="J10" s="138"/>
      <c r="K10" s="145"/>
      <c r="L10" s="146"/>
      <c r="M10" s="145"/>
      <c r="N10" s="145"/>
      <c r="O10" s="145"/>
      <c r="P10" s="145"/>
      <c r="Q10" s="145"/>
      <c r="R10" s="145"/>
      <c r="S10" s="145"/>
      <c r="T10" s="145"/>
      <c r="U10" s="146"/>
      <c r="V10" s="125"/>
      <c r="W10" s="107"/>
      <c r="X10" s="107"/>
      <c r="Y10" s="107"/>
      <c r="Z10" s="138"/>
    </row>
    <row r="11" spans="1:27" s="33" customFormat="1" ht="15" x14ac:dyDescent="0.2">
      <c r="A11" s="107"/>
      <c r="B11" s="107"/>
      <c r="C11" s="107"/>
      <c r="D11" s="138"/>
      <c r="E11" s="151"/>
      <c r="F11" s="37"/>
      <c r="G11" s="38"/>
      <c r="H11" s="39"/>
      <c r="I11" s="138"/>
      <c r="J11" s="138"/>
      <c r="K11" s="147"/>
      <c r="L11" s="148"/>
      <c r="M11" s="145"/>
      <c r="N11" s="145"/>
      <c r="O11" s="147"/>
      <c r="P11" s="147"/>
      <c r="Q11" s="147"/>
      <c r="R11" s="147"/>
      <c r="S11" s="147"/>
      <c r="T11" s="147"/>
      <c r="U11" s="148"/>
      <c r="V11" s="125"/>
      <c r="W11" s="107"/>
      <c r="X11" s="107"/>
      <c r="Y11" s="107"/>
      <c r="Z11" s="138"/>
    </row>
    <row r="12" spans="1:27" s="33" customFormat="1" ht="15" customHeight="1" x14ac:dyDescent="0.2">
      <c r="A12" s="107"/>
      <c r="B12" s="107"/>
      <c r="C12" s="107"/>
      <c r="D12" s="138"/>
      <c r="E12" s="151"/>
      <c r="F12" s="106" t="s">
        <v>13</v>
      </c>
      <c r="G12" s="106" t="s">
        <v>14</v>
      </c>
      <c r="H12" s="106" t="s">
        <v>15</v>
      </c>
      <c r="I12" s="138"/>
      <c r="J12" s="138"/>
      <c r="K12" s="139" t="s">
        <v>16</v>
      </c>
      <c r="L12" s="138"/>
      <c r="M12" s="106" t="s">
        <v>17</v>
      </c>
      <c r="N12" s="106" t="s">
        <v>18</v>
      </c>
      <c r="O12" s="106" t="s">
        <v>19</v>
      </c>
      <c r="P12" s="106" t="s">
        <v>20</v>
      </c>
      <c r="Q12" s="106" t="s">
        <v>21</v>
      </c>
      <c r="R12" s="106" t="s">
        <v>22</v>
      </c>
      <c r="S12" s="106" t="s">
        <v>23</v>
      </c>
      <c r="T12" s="138" t="s">
        <v>24</v>
      </c>
      <c r="U12" s="138"/>
      <c r="V12" s="125"/>
      <c r="W12" s="107"/>
      <c r="X12" s="107"/>
      <c r="Y12" s="107"/>
      <c r="Z12" s="138"/>
    </row>
    <row r="13" spans="1:27" s="33" customFormat="1" ht="54.75" customHeight="1" x14ac:dyDescent="0.2">
      <c r="A13" s="107"/>
      <c r="B13" s="107"/>
      <c r="C13" s="107"/>
      <c r="D13" s="138"/>
      <c r="E13" s="151"/>
      <c r="F13" s="107"/>
      <c r="G13" s="107"/>
      <c r="H13" s="107"/>
      <c r="I13" s="138"/>
      <c r="J13" s="138"/>
      <c r="K13" s="139"/>
      <c r="L13" s="138"/>
      <c r="M13" s="107"/>
      <c r="N13" s="107"/>
      <c r="O13" s="107"/>
      <c r="P13" s="107"/>
      <c r="Q13" s="107"/>
      <c r="R13" s="107"/>
      <c r="S13" s="107"/>
      <c r="T13" s="138"/>
      <c r="U13" s="138"/>
      <c r="V13" s="125"/>
      <c r="W13" s="107"/>
      <c r="X13" s="107"/>
      <c r="Y13" s="107"/>
      <c r="Z13" s="138"/>
    </row>
    <row r="14" spans="1:27" s="33" customFormat="1" ht="15" customHeight="1" x14ac:dyDescent="0.2">
      <c r="A14" s="107"/>
      <c r="B14" s="107"/>
      <c r="C14" s="107"/>
      <c r="D14" s="138"/>
      <c r="E14" s="151"/>
      <c r="F14" s="107"/>
      <c r="G14" s="107"/>
      <c r="H14" s="107"/>
      <c r="I14" s="138"/>
      <c r="J14" s="138"/>
      <c r="K14" s="139"/>
      <c r="L14" s="138"/>
      <c r="M14" s="107"/>
      <c r="N14" s="107"/>
      <c r="O14" s="107"/>
      <c r="P14" s="107"/>
      <c r="Q14" s="107"/>
      <c r="R14" s="107"/>
      <c r="S14" s="107"/>
      <c r="T14" s="138"/>
      <c r="U14" s="138"/>
      <c r="V14" s="125"/>
      <c r="W14" s="107"/>
      <c r="X14" s="107"/>
      <c r="Y14" s="107"/>
      <c r="Z14" s="138"/>
    </row>
    <row r="15" spans="1:27" s="33" customFormat="1" ht="15" customHeight="1" x14ac:dyDescent="0.2">
      <c r="A15" s="107"/>
      <c r="B15" s="107"/>
      <c r="C15" s="107"/>
      <c r="D15" s="138"/>
      <c r="E15" s="151"/>
      <c r="F15" s="107"/>
      <c r="G15" s="107"/>
      <c r="H15" s="107"/>
      <c r="I15" s="138"/>
      <c r="J15" s="138"/>
      <c r="K15" s="139"/>
      <c r="L15" s="138"/>
      <c r="M15" s="107"/>
      <c r="N15" s="107"/>
      <c r="O15" s="107"/>
      <c r="P15" s="107"/>
      <c r="Q15" s="107"/>
      <c r="R15" s="107"/>
      <c r="S15" s="107"/>
      <c r="T15" s="138"/>
      <c r="U15" s="138"/>
      <c r="V15" s="125"/>
      <c r="W15" s="107"/>
      <c r="X15" s="107"/>
      <c r="Y15" s="107"/>
      <c r="Z15" s="138"/>
    </row>
    <row r="16" spans="1:27" s="33" customFormat="1" ht="15" customHeight="1" x14ac:dyDescent="0.2">
      <c r="A16" s="107"/>
      <c r="B16" s="107"/>
      <c r="C16" s="107"/>
      <c r="D16" s="138"/>
      <c r="E16" s="151"/>
      <c r="F16" s="107"/>
      <c r="G16" s="107"/>
      <c r="H16" s="107"/>
      <c r="I16" s="138"/>
      <c r="J16" s="138"/>
      <c r="K16" s="139" t="s">
        <v>25</v>
      </c>
      <c r="L16" s="138" t="s">
        <v>26</v>
      </c>
      <c r="M16" s="107"/>
      <c r="N16" s="107"/>
      <c r="O16" s="107"/>
      <c r="P16" s="107"/>
      <c r="Q16" s="107"/>
      <c r="R16" s="107"/>
      <c r="S16" s="107"/>
      <c r="T16" s="138"/>
      <c r="U16" s="138"/>
      <c r="V16" s="125"/>
      <c r="W16" s="107"/>
      <c r="X16" s="107"/>
      <c r="Y16" s="107"/>
      <c r="Z16" s="138"/>
    </row>
    <row r="17" spans="1:188" s="33" customFormat="1" ht="15" x14ac:dyDescent="0.2">
      <c r="A17" s="108"/>
      <c r="B17" s="108"/>
      <c r="C17" s="108"/>
      <c r="D17" s="138"/>
      <c r="E17" s="151"/>
      <c r="F17" s="108"/>
      <c r="G17" s="108"/>
      <c r="H17" s="108"/>
      <c r="I17" s="138"/>
      <c r="J17" s="138"/>
      <c r="K17" s="139"/>
      <c r="L17" s="138"/>
      <c r="M17" s="108"/>
      <c r="N17" s="108"/>
      <c r="O17" s="108"/>
      <c r="P17" s="108"/>
      <c r="Q17" s="108"/>
      <c r="R17" s="108"/>
      <c r="S17" s="108"/>
      <c r="T17" s="40" t="s">
        <v>25</v>
      </c>
      <c r="U17" s="40" t="s">
        <v>27</v>
      </c>
      <c r="V17" s="112"/>
      <c r="W17" s="108"/>
      <c r="X17" s="108"/>
      <c r="Y17" s="108"/>
      <c r="Z17" s="138"/>
    </row>
    <row r="18" spans="1:188" s="33" customFormat="1" ht="14.25" hidden="1" x14ac:dyDescent="0.2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 spans="1:188" s="33" customFormat="1" ht="14.25" x14ac:dyDescent="0.2">
      <c r="A19" s="42">
        <v>1</v>
      </c>
      <c r="B19" s="42">
        <v>2</v>
      </c>
      <c r="C19" s="42">
        <v>3</v>
      </c>
      <c r="D19" s="42">
        <v>4</v>
      </c>
      <c r="E19" s="42">
        <v>5</v>
      </c>
      <c r="F19" s="42">
        <v>6</v>
      </c>
      <c r="G19" s="42">
        <v>7</v>
      </c>
      <c r="H19" s="42">
        <v>8</v>
      </c>
      <c r="I19" s="42">
        <v>6</v>
      </c>
      <c r="J19" s="42">
        <v>7</v>
      </c>
      <c r="K19" s="42"/>
      <c r="L19" s="42">
        <v>8</v>
      </c>
      <c r="M19" s="42">
        <v>9</v>
      </c>
      <c r="N19" s="42">
        <v>10</v>
      </c>
      <c r="O19" s="42">
        <v>11</v>
      </c>
      <c r="P19" s="42">
        <v>12</v>
      </c>
      <c r="Q19" s="42">
        <v>13</v>
      </c>
      <c r="R19" s="42">
        <v>14</v>
      </c>
      <c r="S19" s="42">
        <v>15</v>
      </c>
      <c r="T19" s="42"/>
      <c r="U19" s="42">
        <v>16</v>
      </c>
      <c r="V19" s="42">
        <v>17</v>
      </c>
      <c r="W19" s="42">
        <v>18</v>
      </c>
      <c r="X19" s="42">
        <v>19</v>
      </c>
      <c r="Y19" s="42">
        <v>20</v>
      </c>
      <c r="Z19" s="42">
        <v>21</v>
      </c>
    </row>
    <row r="20" spans="1:188" s="51" customFormat="1" ht="15" x14ac:dyDescent="0.25">
      <c r="A20" s="40">
        <v>1</v>
      </c>
      <c r="B20" s="43" t="s">
        <v>28</v>
      </c>
      <c r="C20" s="44">
        <v>1</v>
      </c>
      <c r="D20" s="45">
        <v>8194</v>
      </c>
      <c r="E20" s="57">
        <f>D20*1.25</f>
        <v>10242.5</v>
      </c>
      <c r="F20" s="58"/>
      <c r="G20" s="45"/>
      <c r="H20" s="46"/>
      <c r="I20" s="46">
        <f>E20*0.3</f>
        <v>3072.75</v>
      </c>
      <c r="J20" s="45">
        <f>E20*0.3</f>
        <v>3072.75</v>
      </c>
      <c r="K20" s="47">
        <v>0.3</v>
      </c>
      <c r="L20" s="45">
        <f>E20*K20</f>
        <v>3072.75</v>
      </c>
      <c r="M20" s="57"/>
      <c r="N20" s="57"/>
      <c r="O20" s="45"/>
      <c r="P20" s="45"/>
      <c r="Q20" s="45"/>
      <c r="R20" s="48"/>
      <c r="S20" s="48"/>
      <c r="T20" s="49"/>
      <c r="U20" s="48"/>
      <c r="V20" s="48"/>
      <c r="W20" s="50">
        <f>E20+F20+H20+J20+L20+G20+I20+M20+O20+P20+Q20+R20+S20+U20+N20</f>
        <v>19460.75</v>
      </c>
      <c r="X20" s="50"/>
      <c r="Y20" s="50"/>
      <c r="Z20" s="50">
        <f>W20*6+X20+Y20</f>
        <v>116764.5</v>
      </c>
    </row>
    <row r="21" spans="1:188" s="51" customFormat="1" ht="30" x14ac:dyDescent="0.25">
      <c r="A21" s="40">
        <v>2</v>
      </c>
      <c r="B21" s="43" t="s">
        <v>29</v>
      </c>
      <c r="C21" s="44">
        <v>0.5</v>
      </c>
      <c r="D21" s="57">
        <f>ROUND(D20*0.95,0)</f>
        <v>7784</v>
      </c>
      <c r="E21" s="57">
        <f>D21*1.25*C21+22.4</f>
        <v>4887.3999999999996</v>
      </c>
      <c r="F21" s="58"/>
      <c r="G21" s="57"/>
      <c r="H21" s="58"/>
      <c r="I21" s="46">
        <f>E21*0.3</f>
        <v>1466.2199999999998</v>
      </c>
      <c r="J21" s="45">
        <f>E21*0.2</f>
        <v>977.48</v>
      </c>
      <c r="K21" s="52">
        <v>0.3</v>
      </c>
      <c r="L21" s="45">
        <f>E21*K21</f>
        <v>1466.2199999999998</v>
      </c>
      <c r="M21" s="57"/>
      <c r="N21" s="57"/>
      <c r="O21" s="57"/>
      <c r="P21" s="57"/>
      <c r="Q21" s="57"/>
      <c r="R21" s="53"/>
      <c r="S21" s="53"/>
      <c r="T21" s="53"/>
      <c r="U21" s="53"/>
      <c r="V21" s="48"/>
      <c r="W21" s="50">
        <f>E21+F21+H21+J21+L21+G21+I21+M21+O21+P21+Q21+R21+S21+U21+N21</f>
        <v>8797.3199999999979</v>
      </c>
      <c r="X21" s="50"/>
      <c r="Y21" s="50"/>
      <c r="Z21" s="50">
        <f>W21*6+X21+Y21</f>
        <v>52783.919999999984</v>
      </c>
    </row>
    <row r="22" spans="1:188" s="51" customFormat="1" ht="15" x14ac:dyDescent="0.25">
      <c r="A22" s="40">
        <v>3</v>
      </c>
      <c r="B22" s="43" t="s">
        <v>30</v>
      </c>
      <c r="C22" s="54">
        <v>0.25</v>
      </c>
      <c r="D22" s="45">
        <v>7107</v>
      </c>
      <c r="E22" s="45">
        <f>D22*C22</f>
        <v>1776.75</v>
      </c>
      <c r="F22" s="45"/>
      <c r="G22" s="45"/>
      <c r="H22" s="45"/>
      <c r="I22" s="46">
        <f>E22*0.2</f>
        <v>355.35</v>
      </c>
      <c r="J22" s="45"/>
      <c r="K22" s="47">
        <v>0.3</v>
      </c>
      <c r="L22" s="57">
        <f>E22*K22</f>
        <v>533.02499999999998</v>
      </c>
      <c r="M22" s="45"/>
      <c r="N22" s="45"/>
      <c r="O22" s="45"/>
      <c r="P22" s="45"/>
      <c r="Q22" s="45"/>
      <c r="R22" s="48"/>
      <c r="S22" s="48"/>
      <c r="T22" s="48"/>
      <c r="U22" s="48"/>
      <c r="V22" s="48"/>
      <c r="W22" s="50">
        <f>E22+F22+H22+J22+L22+G22+I22+M22+O22+P22+Q22+R22+S22+U22+N22</f>
        <v>2665.125</v>
      </c>
      <c r="X22" s="50"/>
      <c r="Y22" s="50"/>
      <c r="Z22" s="50">
        <f>W22*6+X22+Y22</f>
        <v>15990.75</v>
      </c>
    </row>
    <row r="23" spans="1:188" s="51" customFormat="1" ht="15" x14ac:dyDescent="0.25">
      <c r="A23" s="55">
        <v>4</v>
      </c>
      <c r="B23" s="69" t="s">
        <v>31</v>
      </c>
      <c r="C23" s="44">
        <v>0.25</v>
      </c>
      <c r="D23" s="57">
        <v>7107</v>
      </c>
      <c r="E23" s="58">
        <f>D23*C23</f>
        <v>1776.75</v>
      </c>
      <c r="F23" s="60"/>
      <c r="G23" s="60"/>
      <c r="H23" s="60"/>
      <c r="I23" s="46">
        <f>E23*0.2</f>
        <v>355.35</v>
      </c>
      <c r="J23" s="57"/>
      <c r="K23" s="52">
        <v>0.3</v>
      </c>
      <c r="L23" s="57">
        <f>E23*K23</f>
        <v>533.02499999999998</v>
      </c>
      <c r="M23" s="60"/>
      <c r="N23" s="60"/>
      <c r="O23" s="60"/>
      <c r="P23" s="60"/>
      <c r="Q23" s="60"/>
      <c r="R23" s="56"/>
      <c r="S23" s="69"/>
      <c r="T23" s="55"/>
      <c r="U23" s="53"/>
      <c r="V23" s="48"/>
      <c r="W23" s="50">
        <f>E23+F23+H23+J23+L23+G23+I23+M23+O23+P23+Q23+R23+S23+U23+N23</f>
        <v>2665.125</v>
      </c>
      <c r="X23" s="50"/>
      <c r="Y23" s="50"/>
      <c r="Z23" s="50">
        <f>W23*6+X23+Y23</f>
        <v>15990.75</v>
      </c>
    </row>
    <row r="24" spans="1:188" s="51" customFormat="1" ht="15" x14ac:dyDescent="0.25">
      <c r="A24" s="106">
        <v>5</v>
      </c>
      <c r="B24" s="126" t="s">
        <v>32</v>
      </c>
      <c r="C24" s="106">
        <v>1</v>
      </c>
      <c r="D24" s="113">
        <f>7107*0.5+5786*0.5</f>
        <v>6446.5</v>
      </c>
      <c r="E24" s="116">
        <f>D24*C24</f>
        <v>6446.5</v>
      </c>
      <c r="F24" s="60"/>
      <c r="G24" s="60"/>
      <c r="H24" s="60"/>
      <c r="I24" s="116">
        <f>E24*0.2</f>
        <v>1289.3000000000002</v>
      </c>
      <c r="J24" s="57"/>
      <c r="K24" s="52">
        <v>0.1</v>
      </c>
      <c r="L24" s="57">
        <f>5786*0.5*0.1</f>
        <v>289.3</v>
      </c>
      <c r="M24" s="60"/>
      <c r="N24" s="60"/>
      <c r="O24" s="60"/>
      <c r="P24" s="60"/>
      <c r="Q24" s="60"/>
      <c r="R24" s="56"/>
      <c r="S24" s="69"/>
      <c r="T24" s="55"/>
      <c r="U24" s="53"/>
      <c r="V24" s="48"/>
      <c r="W24" s="122">
        <f>E24+F25+H25+J25+L25+G25+I24+M25+O25+P25+Q25+R25+S25+U25+N25+L24</f>
        <v>9091.15</v>
      </c>
      <c r="X24" s="122"/>
      <c r="Y24" s="122"/>
      <c r="Z24" s="122">
        <f>W24*6+X24+Y25</f>
        <v>54546.899999999994</v>
      </c>
    </row>
    <row r="25" spans="1:188" s="59" customFormat="1" ht="15" x14ac:dyDescent="0.25">
      <c r="A25" s="108"/>
      <c r="B25" s="141"/>
      <c r="C25" s="108"/>
      <c r="D25" s="137"/>
      <c r="E25" s="140"/>
      <c r="F25" s="45"/>
      <c r="G25" s="45"/>
      <c r="H25" s="45"/>
      <c r="I25" s="140"/>
      <c r="J25" s="45"/>
      <c r="K25" s="47">
        <v>0.3</v>
      </c>
      <c r="L25" s="45">
        <f>7107*0.5*0.3</f>
        <v>1066.05</v>
      </c>
      <c r="M25" s="45"/>
      <c r="N25" s="45"/>
      <c r="O25" s="45"/>
      <c r="P25" s="45"/>
      <c r="Q25" s="45"/>
      <c r="R25" s="48"/>
      <c r="S25" s="48"/>
      <c r="T25" s="48"/>
      <c r="U25" s="48"/>
      <c r="V25" s="48"/>
      <c r="W25" s="124"/>
      <c r="X25" s="124"/>
      <c r="Y25" s="124"/>
      <c r="Z25" s="124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</row>
    <row r="26" spans="1:188" s="62" customFormat="1" ht="15" x14ac:dyDescent="0.25">
      <c r="A26" s="133">
        <v>6</v>
      </c>
      <c r="B26" s="127" t="s">
        <v>33</v>
      </c>
      <c r="C26" s="130">
        <v>5.5</v>
      </c>
      <c r="D26" s="113">
        <f>E26/C26</f>
        <v>6373.2020202020203</v>
      </c>
      <c r="E26" s="116">
        <f>(7107/18*4+6667/18*49+6226/18*22+5786/18*24)</f>
        <v>35052.611111111109</v>
      </c>
      <c r="F26" s="57"/>
      <c r="G26" s="57"/>
      <c r="H26" s="57"/>
      <c r="I26" s="116">
        <f>E26*0.3-539.75</f>
        <v>9976.0333333333328</v>
      </c>
      <c r="J26" s="57"/>
      <c r="K26" s="52">
        <v>0.1</v>
      </c>
      <c r="L26" s="57">
        <f>(6226/18*21)*K26</f>
        <v>726.36666666666679</v>
      </c>
      <c r="M26" s="63"/>
      <c r="N26" s="63"/>
      <c r="O26" s="136">
        <f>(6226*0.5+5786*0.5+6667*2)*0.2</f>
        <v>3868</v>
      </c>
      <c r="P26" s="136">
        <f>(5786/18*18*0.5+6226/18*18*0.5+6667/18*36)*0.15+(6667/18*6)*0.1</f>
        <v>3123.2333333333336</v>
      </c>
      <c r="Q26" s="113">
        <f>6667*0.2</f>
        <v>1333.4</v>
      </c>
      <c r="R26" s="63"/>
      <c r="S26" s="57"/>
      <c r="T26" s="57"/>
      <c r="U26" s="57"/>
      <c r="V26" s="57"/>
      <c r="W26" s="118">
        <f>E26+F28+H28+J28+L28+G28+I26+M28+O26+P26+Q28+R28+S28+U28+N28+L26+Q26</f>
        <v>62127.027777777774</v>
      </c>
      <c r="X26" s="118"/>
      <c r="Y26" s="122"/>
      <c r="Z26" s="118">
        <f>W26*6+X26+Y28</f>
        <v>372762.16666666663</v>
      </c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61"/>
      <c r="CW26" s="61"/>
      <c r="CX26" s="61"/>
      <c r="CY26" s="61"/>
      <c r="CZ26" s="61"/>
      <c r="DA26" s="61"/>
      <c r="DB26" s="61"/>
      <c r="DC26" s="61"/>
      <c r="DD26" s="61"/>
      <c r="DE26" s="61"/>
      <c r="DF26" s="61"/>
      <c r="DG26" s="61"/>
      <c r="DH26" s="61"/>
      <c r="DI26" s="61"/>
      <c r="DJ26" s="61"/>
      <c r="DK26" s="61"/>
      <c r="DL26" s="61"/>
      <c r="DM26" s="61"/>
      <c r="DN26" s="61"/>
      <c r="DO26" s="61"/>
      <c r="DP26" s="61"/>
      <c r="DQ26" s="61"/>
      <c r="DR26" s="61"/>
      <c r="DS26" s="61"/>
      <c r="DT26" s="61"/>
      <c r="DU26" s="61"/>
      <c r="DV26" s="61"/>
      <c r="DW26" s="61"/>
      <c r="DX26" s="61"/>
      <c r="DY26" s="61"/>
      <c r="DZ26" s="61"/>
      <c r="EA26" s="61"/>
      <c r="EB26" s="61"/>
      <c r="EC26" s="61"/>
      <c r="ED26" s="61"/>
      <c r="EE26" s="61"/>
      <c r="EF26" s="61"/>
      <c r="EG26" s="61"/>
      <c r="EH26" s="61"/>
      <c r="EI26" s="61"/>
      <c r="EJ26" s="61"/>
      <c r="EK26" s="61"/>
      <c r="EL26" s="61"/>
      <c r="EM26" s="61"/>
      <c r="EN26" s="61"/>
      <c r="EO26" s="61"/>
      <c r="EP26" s="61"/>
      <c r="EQ26" s="61"/>
      <c r="ER26" s="61"/>
      <c r="ES26" s="61"/>
      <c r="ET26" s="61"/>
      <c r="EU26" s="61"/>
      <c r="EV26" s="61"/>
      <c r="EW26" s="61"/>
      <c r="EX26" s="61"/>
      <c r="EY26" s="61"/>
      <c r="EZ26" s="61"/>
      <c r="FA26" s="61"/>
      <c r="FB26" s="61"/>
      <c r="FC26" s="61"/>
      <c r="FD26" s="61"/>
      <c r="FE26" s="61"/>
      <c r="FF26" s="61"/>
      <c r="FG26" s="61"/>
      <c r="FH26" s="61"/>
      <c r="FI26" s="61"/>
      <c r="FJ26" s="61"/>
      <c r="FK26" s="61"/>
      <c r="FL26" s="61"/>
      <c r="FM26" s="61"/>
      <c r="FN26" s="61"/>
      <c r="FO26" s="61"/>
      <c r="FP26" s="61"/>
      <c r="FQ26" s="61"/>
      <c r="FR26" s="61"/>
      <c r="FS26" s="61"/>
      <c r="FT26" s="61"/>
      <c r="FU26" s="61"/>
      <c r="FV26" s="61"/>
      <c r="FW26" s="61"/>
      <c r="FX26" s="61"/>
      <c r="FY26" s="61"/>
      <c r="FZ26" s="61"/>
      <c r="GA26" s="61"/>
      <c r="GB26" s="61"/>
      <c r="GC26" s="61"/>
      <c r="GD26" s="61"/>
      <c r="GE26" s="61"/>
      <c r="GF26" s="61"/>
    </row>
    <row r="27" spans="1:188" s="62" customFormat="1" ht="15" x14ac:dyDescent="0.25">
      <c r="A27" s="134"/>
      <c r="B27" s="128"/>
      <c r="C27" s="131"/>
      <c r="D27" s="119"/>
      <c r="E27" s="119"/>
      <c r="F27" s="57"/>
      <c r="G27" s="57"/>
      <c r="H27" s="57"/>
      <c r="I27" s="119"/>
      <c r="J27" s="57"/>
      <c r="K27" s="52">
        <v>0.2</v>
      </c>
      <c r="L27" s="57"/>
      <c r="M27" s="63"/>
      <c r="N27" s="63"/>
      <c r="O27" s="128"/>
      <c r="P27" s="128"/>
      <c r="Q27" s="114"/>
      <c r="R27" s="63"/>
      <c r="S27" s="57"/>
      <c r="T27" s="57"/>
      <c r="U27" s="57"/>
      <c r="V27" s="57"/>
      <c r="W27" s="119"/>
      <c r="X27" s="120"/>
      <c r="Y27" s="123"/>
      <c r="Z27" s="119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61"/>
      <c r="CW27" s="61"/>
      <c r="CX27" s="61"/>
      <c r="CY27" s="61"/>
      <c r="CZ27" s="61"/>
      <c r="DA27" s="61"/>
      <c r="DB27" s="61"/>
      <c r="DC27" s="61"/>
      <c r="DD27" s="61"/>
      <c r="DE27" s="61"/>
      <c r="DF27" s="61"/>
      <c r="DG27" s="61"/>
      <c r="DH27" s="61"/>
      <c r="DI27" s="61"/>
      <c r="DJ27" s="61"/>
      <c r="DK27" s="61"/>
      <c r="DL27" s="61"/>
      <c r="DM27" s="61"/>
      <c r="DN27" s="61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1"/>
      <c r="EQ27" s="61"/>
      <c r="ER27" s="61"/>
      <c r="ES27" s="61"/>
      <c r="ET27" s="61"/>
      <c r="EU27" s="61"/>
      <c r="EV27" s="61"/>
      <c r="EW27" s="61"/>
      <c r="EX27" s="61"/>
      <c r="EY27" s="61"/>
      <c r="EZ27" s="61"/>
      <c r="FA27" s="61"/>
      <c r="FB27" s="61"/>
      <c r="FC27" s="61"/>
      <c r="FD27" s="61"/>
      <c r="FE27" s="61"/>
      <c r="FF27" s="61"/>
      <c r="FG27" s="61"/>
      <c r="FH27" s="61"/>
      <c r="FI27" s="61"/>
      <c r="FJ27" s="61"/>
      <c r="FK27" s="61"/>
      <c r="FL27" s="61"/>
      <c r="FM27" s="61"/>
      <c r="FN27" s="61"/>
      <c r="FO27" s="61"/>
      <c r="FP27" s="61"/>
      <c r="FQ27" s="61"/>
      <c r="FR27" s="61"/>
      <c r="FS27" s="61"/>
      <c r="FT27" s="61"/>
      <c r="FU27" s="61"/>
      <c r="FV27" s="61"/>
      <c r="FW27" s="61"/>
      <c r="FX27" s="61"/>
      <c r="FY27" s="61"/>
      <c r="FZ27" s="61"/>
      <c r="GA27" s="61"/>
      <c r="GB27" s="61"/>
      <c r="GC27" s="61"/>
      <c r="GD27" s="61"/>
      <c r="GE27" s="61"/>
      <c r="GF27" s="61"/>
    </row>
    <row r="28" spans="1:188" s="61" customFormat="1" ht="14.25" customHeight="1" x14ac:dyDescent="0.25">
      <c r="A28" s="135"/>
      <c r="B28" s="129"/>
      <c r="C28" s="132"/>
      <c r="D28" s="115"/>
      <c r="E28" s="115"/>
      <c r="F28" s="60"/>
      <c r="G28" s="64"/>
      <c r="H28" s="60"/>
      <c r="I28" s="115"/>
      <c r="J28" s="65"/>
      <c r="K28" s="52">
        <v>0.3</v>
      </c>
      <c r="L28" s="57">
        <f>(6226/18*1+7107/18*4+6667/18*49+5786/18*21)*K28</f>
        <v>8047.383333333335</v>
      </c>
      <c r="M28" s="63"/>
      <c r="N28" s="63"/>
      <c r="O28" s="129"/>
      <c r="P28" s="129"/>
      <c r="Q28" s="137"/>
      <c r="R28" s="63"/>
      <c r="S28" s="60"/>
      <c r="T28" s="60"/>
      <c r="U28" s="60"/>
      <c r="V28" s="60"/>
      <c r="W28" s="115"/>
      <c r="X28" s="121"/>
      <c r="Y28" s="124"/>
      <c r="Z28" s="115"/>
    </row>
    <row r="29" spans="1:188" s="62" customFormat="1" ht="15" x14ac:dyDescent="0.25">
      <c r="A29" s="133">
        <v>6</v>
      </c>
      <c r="B29" s="127" t="s">
        <v>34</v>
      </c>
      <c r="C29" s="130">
        <v>6.8</v>
      </c>
      <c r="D29" s="113">
        <f>E29/C29</f>
        <v>6515.7026143790854</v>
      </c>
      <c r="E29" s="116">
        <f>(7107/18*30+6667/18*47+6226/18*17.5+5786/18*28)</f>
        <v>44306.777777777781</v>
      </c>
      <c r="F29" s="57"/>
      <c r="G29" s="57"/>
      <c r="H29" s="57"/>
      <c r="I29" s="116">
        <f>E29*0.2+1056.22</f>
        <v>9917.5755555555552</v>
      </c>
      <c r="J29" s="57"/>
      <c r="K29" s="52">
        <v>0.1</v>
      </c>
      <c r="L29" s="57">
        <v>0</v>
      </c>
      <c r="M29" s="63"/>
      <c r="N29" s="63"/>
      <c r="O29" s="136">
        <f>(6226+5786*2+6667)*0.25*0.5</f>
        <v>3058.125</v>
      </c>
      <c r="P29" s="136">
        <f>(5786/18*8)*0.15+(6667/18*3+5786/18*1.5+7107/18*3.5)*0.1+(6667/18*9.75)*0.2+77.68</f>
        <v>1483.1966666666669</v>
      </c>
      <c r="Q29" s="113"/>
      <c r="R29" s="63"/>
      <c r="S29" s="57"/>
      <c r="T29" s="57"/>
      <c r="U29" s="57"/>
      <c r="V29" s="57"/>
      <c r="W29" s="118">
        <f>E29+F31+H31+J31+L31+G31+I29+M31+O29+P29+Q31+R31+S31+U31+N31+L30-1714.15</f>
        <v>67431.186111111121</v>
      </c>
      <c r="X29" s="118"/>
      <c r="Y29" s="122"/>
      <c r="Z29" s="118">
        <f>W29*6+X29+Y31</f>
        <v>404587.1166666667</v>
      </c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1"/>
      <c r="CV29" s="61"/>
      <c r="CW29" s="61"/>
      <c r="CX29" s="61"/>
      <c r="CY29" s="61"/>
      <c r="CZ29" s="61"/>
      <c r="DA29" s="61"/>
      <c r="DB29" s="61"/>
      <c r="DC29" s="61"/>
      <c r="DD29" s="61"/>
      <c r="DE29" s="61"/>
      <c r="DF29" s="61"/>
      <c r="DG29" s="61"/>
      <c r="DH29" s="61"/>
      <c r="DI29" s="61"/>
      <c r="DJ29" s="61"/>
      <c r="DK29" s="61"/>
      <c r="DL29" s="61"/>
      <c r="DM29" s="61"/>
      <c r="DN29" s="61"/>
      <c r="DO29" s="61"/>
      <c r="DP29" s="61"/>
      <c r="DQ29" s="61"/>
      <c r="DR29" s="61"/>
      <c r="DS29" s="61"/>
      <c r="DT29" s="61"/>
      <c r="DU29" s="61"/>
      <c r="DV29" s="61"/>
      <c r="DW29" s="61"/>
      <c r="DX29" s="61"/>
      <c r="DY29" s="61"/>
      <c r="DZ29" s="61"/>
      <c r="EA29" s="61"/>
      <c r="EB29" s="61"/>
      <c r="EC29" s="61"/>
      <c r="ED29" s="61"/>
      <c r="EE29" s="61"/>
      <c r="EF29" s="61"/>
      <c r="EG29" s="61"/>
      <c r="EH29" s="61"/>
      <c r="EI29" s="61"/>
      <c r="EJ29" s="61"/>
      <c r="EK29" s="61"/>
      <c r="EL29" s="61"/>
      <c r="EM29" s="61"/>
      <c r="EN29" s="61"/>
      <c r="EO29" s="61"/>
      <c r="EP29" s="61"/>
      <c r="EQ29" s="61"/>
      <c r="ER29" s="61"/>
      <c r="ES29" s="61"/>
      <c r="ET29" s="61"/>
      <c r="EU29" s="61"/>
      <c r="EV29" s="61"/>
      <c r="EW29" s="61"/>
      <c r="EX29" s="61"/>
      <c r="EY29" s="61"/>
      <c r="EZ29" s="61"/>
      <c r="FA29" s="61"/>
      <c r="FB29" s="61"/>
      <c r="FC29" s="61"/>
      <c r="FD29" s="61"/>
      <c r="FE29" s="61"/>
      <c r="FF29" s="61"/>
      <c r="FG29" s="61"/>
      <c r="FH29" s="61"/>
      <c r="FI29" s="61"/>
      <c r="FJ29" s="61"/>
      <c r="FK29" s="61"/>
      <c r="FL29" s="61"/>
      <c r="FM29" s="61"/>
      <c r="FN29" s="61"/>
      <c r="FO29" s="61"/>
      <c r="FP29" s="61"/>
      <c r="FQ29" s="61"/>
      <c r="FR29" s="61"/>
      <c r="FS29" s="61"/>
      <c r="FT29" s="61"/>
      <c r="FU29" s="61"/>
      <c r="FV29" s="61"/>
      <c r="FW29" s="61"/>
      <c r="FX29" s="61"/>
      <c r="FY29" s="61"/>
      <c r="FZ29" s="61"/>
      <c r="GA29" s="61"/>
      <c r="GB29" s="61"/>
      <c r="GC29" s="61"/>
      <c r="GD29" s="61"/>
      <c r="GE29" s="61"/>
      <c r="GF29" s="61"/>
    </row>
    <row r="30" spans="1:188" s="62" customFormat="1" ht="14.25" customHeight="1" x14ac:dyDescent="0.25">
      <c r="A30" s="134"/>
      <c r="B30" s="128"/>
      <c r="C30" s="131"/>
      <c r="D30" s="119"/>
      <c r="E30" s="119"/>
      <c r="F30" s="57"/>
      <c r="G30" s="57"/>
      <c r="H30" s="57"/>
      <c r="I30" s="119"/>
      <c r="J30" s="57"/>
      <c r="K30" s="52">
        <v>0.2</v>
      </c>
      <c r="L30" s="57">
        <f>6226/18*14.5*0.2</f>
        <v>1003.077777777778</v>
      </c>
      <c r="M30" s="63"/>
      <c r="N30" s="63"/>
      <c r="O30" s="128"/>
      <c r="P30" s="128"/>
      <c r="Q30" s="114"/>
      <c r="R30" s="63"/>
      <c r="S30" s="57"/>
      <c r="T30" s="57"/>
      <c r="U30" s="57"/>
      <c r="V30" s="57"/>
      <c r="W30" s="119"/>
      <c r="X30" s="120"/>
      <c r="Y30" s="123"/>
      <c r="Z30" s="119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  <c r="DK30" s="61"/>
      <c r="DL30" s="61"/>
      <c r="DM30" s="61"/>
      <c r="DN30" s="61"/>
      <c r="DO30" s="61"/>
      <c r="DP30" s="61"/>
      <c r="DQ30" s="61"/>
      <c r="DR30" s="61"/>
      <c r="DS30" s="61"/>
      <c r="DT30" s="61"/>
      <c r="DU30" s="61"/>
      <c r="DV30" s="61"/>
      <c r="DW30" s="61"/>
      <c r="DX30" s="61"/>
      <c r="DY30" s="61"/>
      <c r="DZ30" s="61"/>
      <c r="EA30" s="61"/>
      <c r="EB30" s="61"/>
      <c r="EC30" s="61"/>
      <c r="ED30" s="61"/>
      <c r="EE30" s="61"/>
      <c r="EF30" s="61"/>
      <c r="EG30" s="61"/>
      <c r="EH30" s="61"/>
      <c r="EI30" s="61"/>
      <c r="EJ30" s="61"/>
      <c r="EK30" s="61"/>
      <c r="EL30" s="61"/>
      <c r="EM30" s="61"/>
      <c r="EN30" s="61"/>
      <c r="EO30" s="61"/>
      <c r="EP30" s="61"/>
      <c r="EQ30" s="61"/>
      <c r="ER30" s="61"/>
      <c r="ES30" s="61"/>
      <c r="ET30" s="61"/>
      <c r="EU30" s="61"/>
      <c r="EV30" s="61"/>
      <c r="EW30" s="61"/>
      <c r="EX30" s="61"/>
      <c r="EY30" s="61"/>
      <c r="EZ30" s="61"/>
      <c r="FA30" s="61"/>
      <c r="FB30" s="61"/>
      <c r="FC30" s="61"/>
      <c r="FD30" s="61"/>
      <c r="FE30" s="61"/>
      <c r="FF30" s="61"/>
      <c r="FG30" s="61"/>
      <c r="FH30" s="61"/>
      <c r="FI30" s="61"/>
      <c r="FJ30" s="61"/>
      <c r="FK30" s="61"/>
      <c r="FL30" s="61"/>
      <c r="FM30" s="61"/>
      <c r="FN30" s="61"/>
      <c r="FO30" s="61"/>
      <c r="FP30" s="61"/>
      <c r="FQ30" s="61"/>
      <c r="FR30" s="61"/>
      <c r="FS30" s="61"/>
      <c r="FT30" s="61"/>
      <c r="FU30" s="61"/>
      <c r="FV30" s="61"/>
      <c r="FW30" s="61"/>
      <c r="FX30" s="61"/>
      <c r="FY30" s="61"/>
      <c r="FZ30" s="61"/>
      <c r="GA30" s="61"/>
      <c r="GB30" s="61"/>
      <c r="GC30" s="61"/>
      <c r="GD30" s="61"/>
      <c r="GE30" s="61"/>
      <c r="GF30" s="61"/>
    </row>
    <row r="31" spans="1:188" s="61" customFormat="1" ht="14.25" customHeight="1" x14ac:dyDescent="0.25">
      <c r="A31" s="135"/>
      <c r="B31" s="129"/>
      <c r="C31" s="132"/>
      <c r="D31" s="115"/>
      <c r="E31" s="115"/>
      <c r="F31" s="60"/>
      <c r="G31" s="64"/>
      <c r="H31" s="60"/>
      <c r="I31" s="115"/>
      <c r="J31" s="65"/>
      <c r="K31" s="52">
        <v>0.3</v>
      </c>
      <c r="L31" s="57">
        <f>(6226/18*3+7107/18*30+6667/18*47+5786/18*3)*K31</f>
        <v>9376.5833333333321</v>
      </c>
      <c r="M31" s="63"/>
      <c r="N31" s="63"/>
      <c r="O31" s="129"/>
      <c r="P31" s="129"/>
      <c r="Q31" s="137"/>
      <c r="R31" s="63"/>
      <c r="S31" s="60"/>
      <c r="T31" s="60"/>
      <c r="U31" s="60"/>
      <c r="V31" s="60"/>
      <c r="W31" s="115"/>
      <c r="X31" s="121"/>
      <c r="Y31" s="124"/>
      <c r="Z31" s="115"/>
    </row>
    <row r="32" spans="1:188" s="61" customFormat="1" ht="15" x14ac:dyDescent="0.25">
      <c r="A32" s="106">
        <v>7</v>
      </c>
      <c r="B32" s="126" t="s">
        <v>35</v>
      </c>
      <c r="C32" s="106">
        <v>0.5</v>
      </c>
      <c r="D32" s="113">
        <f>6226</f>
        <v>6226</v>
      </c>
      <c r="E32" s="116">
        <f>D32*C32</f>
        <v>3113</v>
      </c>
      <c r="F32" s="60"/>
      <c r="G32" s="64"/>
      <c r="H32" s="60"/>
      <c r="I32" s="116">
        <f>E32*0.2</f>
        <v>622.6</v>
      </c>
      <c r="J32" s="65"/>
      <c r="K32" s="52">
        <v>0</v>
      </c>
      <c r="L32" s="57">
        <f>(6226*0.25)*K32</f>
        <v>0</v>
      </c>
      <c r="M32" s="57"/>
      <c r="N32" s="45"/>
      <c r="O32" s="66"/>
      <c r="P32" s="66"/>
      <c r="Q32" s="60"/>
      <c r="R32" s="45"/>
      <c r="S32" s="60"/>
      <c r="T32" s="60"/>
      <c r="U32" s="60"/>
      <c r="V32" s="60"/>
      <c r="W32" s="122">
        <f>E32+F33+H33+J33+L33+G33+I32+M33+O33+P33+Q33+R33+S33+U33+N33</f>
        <v>4669.5</v>
      </c>
      <c r="X32" s="122"/>
      <c r="Y32" s="122"/>
      <c r="Z32" s="122">
        <f>W32*6+X32+Y33</f>
        <v>28017</v>
      </c>
    </row>
    <row r="33" spans="1:190" s="67" customFormat="1" ht="15" x14ac:dyDescent="0.25">
      <c r="A33" s="108"/>
      <c r="B33" s="111"/>
      <c r="C33" s="112"/>
      <c r="D33" s="115"/>
      <c r="E33" s="115"/>
      <c r="F33" s="45"/>
      <c r="G33" s="45"/>
      <c r="H33" s="45"/>
      <c r="I33" s="115"/>
      <c r="J33" s="45"/>
      <c r="K33" s="47">
        <v>0.3</v>
      </c>
      <c r="L33" s="57">
        <f>(6226*0.5)*K33</f>
        <v>933.9</v>
      </c>
      <c r="M33" s="45"/>
      <c r="N33" s="45"/>
      <c r="O33" s="45"/>
      <c r="P33" s="45"/>
      <c r="Q33" s="45"/>
      <c r="R33" s="48"/>
      <c r="S33" s="48"/>
      <c r="T33" s="48"/>
      <c r="U33" s="48"/>
      <c r="V33" s="48"/>
      <c r="W33" s="112"/>
      <c r="X33" s="112"/>
      <c r="Y33" s="124"/>
      <c r="Z33" s="112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1"/>
      <c r="FV33" s="51"/>
      <c r="FW33" s="51"/>
      <c r="FX33" s="51"/>
      <c r="FY33" s="51"/>
      <c r="FZ33" s="51"/>
      <c r="GA33" s="51"/>
      <c r="GB33" s="51"/>
      <c r="GC33" s="51"/>
      <c r="GD33" s="51"/>
      <c r="GE33" s="51"/>
      <c r="GF33" s="51"/>
    </row>
    <row r="34" spans="1:190" s="68" customFormat="1" ht="15" x14ac:dyDescent="0.25">
      <c r="A34" s="55">
        <v>8</v>
      </c>
      <c r="B34" s="69" t="s">
        <v>36</v>
      </c>
      <c r="C34" s="55">
        <v>1</v>
      </c>
      <c r="D34" s="57">
        <f>E34/C34</f>
        <v>5786</v>
      </c>
      <c r="E34" s="46">
        <v>5786</v>
      </c>
      <c r="F34" s="60"/>
      <c r="G34" s="60"/>
      <c r="H34" s="60"/>
      <c r="I34" s="46">
        <f>E34*0.2</f>
        <v>1157.2</v>
      </c>
      <c r="J34" s="60"/>
      <c r="K34" s="47">
        <v>0</v>
      </c>
      <c r="L34" s="57">
        <f>(5786+6226)*K34</f>
        <v>0</v>
      </c>
      <c r="M34" s="45"/>
      <c r="N34" s="45"/>
      <c r="O34" s="45"/>
      <c r="P34" s="45"/>
      <c r="Q34" s="45">
        <f>E34*0.2</f>
        <v>1157.2</v>
      </c>
      <c r="R34" s="48"/>
      <c r="S34" s="48"/>
      <c r="T34" s="48"/>
      <c r="U34" s="48"/>
      <c r="V34" s="53"/>
      <c r="W34" s="50">
        <f>E34+F34+H34+J34+L34+G34+I34+M34+O34+P34+Q34+R34+S34+U34+N34</f>
        <v>8100.4</v>
      </c>
      <c r="X34" s="50"/>
      <c r="Y34" s="50"/>
      <c r="Z34" s="50">
        <f>W34*6+X34+Y34</f>
        <v>48602.399999999994</v>
      </c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1"/>
      <c r="DL34" s="51"/>
      <c r="DM34" s="51"/>
      <c r="DN34" s="51"/>
      <c r="DO34" s="51"/>
      <c r="DP34" s="51"/>
      <c r="DQ34" s="51"/>
      <c r="DR34" s="51"/>
      <c r="DS34" s="51"/>
      <c r="DT34" s="51"/>
      <c r="DU34" s="51"/>
      <c r="DV34" s="51"/>
      <c r="DW34" s="51"/>
      <c r="DX34" s="51"/>
      <c r="DY34" s="51"/>
      <c r="DZ34" s="51"/>
      <c r="EA34" s="51"/>
      <c r="EB34" s="51"/>
      <c r="EC34" s="51"/>
      <c r="ED34" s="51"/>
      <c r="EE34" s="51"/>
      <c r="EF34" s="51"/>
      <c r="EG34" s="51"/>
      <c r="EH34" s="51"/>
      <c r="EI34" s="51"/>
      <c r="EJ34" s="51"/>
      <c r="EK34" s="51"/>
      <c r="EL34" s="51"/>
      <c r="EM34" s="51"/>
      <c r="EN34" s="51"/>
      <c r="EO34" s="51"/>
      <c r="EP34" s="51"/>
      <c r="EQ34" s="51"/>
      <c r="ER34" s="51"/>
      <c r="ES34" s="51"/>
      <c r="ET34" s="51"/>
      <c r="EU34" s="51"/>
      <c r="EV34" s="51"/>
      <c r="EW34" s="51"/>
      <c r="EX34" s="51"/>
      <c r="EY34" s="51"/>
      <c r="EZ34" s="51"/>
      <c r="FA34" s="51"/>
      <c r="FB34" s="51"/>
      <c r="FC34" s="51"/>
      <c r="FD34" s="51"/>
      <c r="FE34" s="51"/>
      <c r="FF34" s="51"/>
      <c r="FG34" s="51"/>
      <c r="FH34" s="51"/>
      <c r="FI34" s="51"/>
      <c r="FJ34" s="51"/>
      <c r="FK34" s="51"/>
      <c r="FL34" s="51"/>
      <c r="FM34" s="51"/>
      <c r="FN34" s="51"/>
      <c r="FO34" s="51"/>
      <c r="FP34" s="51"/>
      <c r="FQ34" s="51"/>
      <c r="FR34" s="51"/>
      <c r="FS34" s="51"/>
      <c r="FT34" s="51"/>
      <c r="FU34" s="51"/>
      <c r="FV34" s="51"/>
      <c r="FW34" s="51"/>
      <c r="FX34" s="51"/>
      <c r="FY34" s="51"/>
      <c r="FZ34" s="51"/>
      <c r="GA34" s="51"/>
      <c r="GB34" s="51"/>
      <c r="GC34" s="51"/>
      <c r="GD34" s="51"/>
      <c r="GE34" s="51"/>
      <c r="GF34" s="51"/>
    </row>
    <row r="35" spans="1:190" s="67" customFormat="1" ht="15" x14ac:dyDescent="0.25">
      <c r="A35" s="106">
        <v>9</v>
      </c>
      <c r="B35" s="109" t="s">
        <v>37</v>
      </c>
      <c r="C35" s="106">
        <v>1</v>
      </c>
      <c r="D35" s="113">
        <f>E35/C35</f>
        <v>6006</v>
      </c>
      <c r="E35" s="116">
        <f>(5786*0.5+6226*0.5)</f>
        <v>6006</v>
      </c>
      <c r="F35" s="60"/>
      <c r="G35" s="60"/>
      <c r="H35" s="60"/>
      <c r="I35" s="116">
        <f>E35*0.2</f>
        <v>1201.2</v>
      </c>
      <c r="J35" s="60"/>
      <c r="K35" s="47">
        <v>0.1</v>
      </c>
      <c r="L35" s="57">
        <f>(6226*0.5)*K35</f>
        <v>311.3</v>
      </c>
      <c r="M35" s="45"/>
      <c r="N35" s="45"/>
      <c r="O35" s="45"/>
      <c r="P35" s="45"/>
      <c r="Q35" s="45"/>
      <c r="R35" s="48"/>
      <c r="S35" s="48"/>
      <c r="T35" s="48"/>
      <c r="U35" s="48"/>
      <c r="V35" s="53"/>
      <c r="W35" s="122">
        <f>E35+F37+H37+J37+L37+G37+I35+M37+O37+P37+Q37+R37+S37+U37+N37+L35</f>
        <v>7518.5</v>
      </c>
      <c r="X35" s="122"/>
      <c r="Y35" s="122"/>
      <c r="Z35" s="122">
        <f>W35*6+X35+Y37</f>
        <v>45111</v>
      </c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1"/>
      <c r="DL35" s="51"/>
      <c r="DM35" s="51"/>
      <c r="DN35" s="51"/>
      <c r="DO35" s="51"/>
      <c r="DP35" s="51"/>
      <c r="DQ35" s="51"/>
      <c r="DR35" s="51"/>
      <c r="DS35" s="51"/>
      <c r="DT35" s="51"/>
      <c r="DU35" s="51"/>
      <c r="DV35" s="51"/>
      <c r="DW35" s="51"/>
      <c r="DX35" s="51"/>
      <c r="DY35" s="51"/>
      <c r="DZ35" s="51"/>
      <c r="EA35" s="51"/>
      <c r="EB35" s="51"/>
      <c r="EC35" s="51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1"/>
      <c r="ER35" s="51"/>
      <c r="ES35" s="51"/>
      <c r="ET35" s="51"/>
      <c r="EU35" s="51"/>
      <c r="EV35" s="51"/>
      <c r="EW35" s="51"/>
      <c r="EX35" s="51"/>
      <c r="EY35" s="51"/>
      <c r="EZ35" s="51"/>
      <c r="FA35" s="51"/>
      <c r="FB35" s="51"/>
      <c r="FC35" s="51"/>
      <c r="FD35" s="51"/>
      <c r="FE35" s="51"/>
      <c r="FF35" s="51"/>
      <c r="FG35" s="51"/>
      <c r="FH35" s="51"/>
      <c r="FI35" s="51"/>
      <c r="FJ35" s="51"/>
      <c r="FK35" s="51"/>
      <c r="FL35" s="51"/>
      <c r="FM35" s="51"/>
      <c r="FN35" s="51"/>
      <c r="FO35" s="51"/>
      <c r="FP35" s="51"/>
      <c r="FQ35" s="51"/>
      <c r="FR35" s="51"/>
      <c r="FS35" s="51"/>
      <c r="FT35" s="51"/>
      <c r="FU35" s="51"/>
      <c r="FV35" s="51"/>
      <c r="FW35" s="51"/>
      <c r="FX35" s="51"/>
      <c r="FY35" s="51"/>
      <c r="FZ35" s="51"/>
      <c r="GA35" s="51"/>
      <c r="GB35" s="51"/>
      <c r="GC35" s="51"/>
      <c r="GD35" s="51"/>
      <c r="GE35" s="51"/>
      <c r="GF35" s="51"/>
    </row>
    <row r="36" spans="1:190" s="67" customFormat="1" ht="15" x14ac:dyDescent="0.25">
      <c r="A36" s="107"/>
      <c r="B36" s="110"/>
      <c r="C36" s="107"/>
      <c r="D36" s="114"/>
      <c r="E36" s="117"/>
      <c r="F36" s="60"/>
      <c r="G36" s="60"/>
      <c r="H36" s="60"/>
      <c r="I36" s="117"/>
      <c r="J36" s="60"/>
      <c r="K36" s="47">
        <v>0.2</v>
      </c>
      <c r="L36" s="57">
        <v>0</v>
      </c>
      <c r="M36" s="45"/>
      <c r="N36" s="45"/>
      <c r="O36" s="45"/>
      <c r="P36" s="45"/>
      <c r="Q36" s="45"/>
      <c r="R36" s="48"/>
      <c r="S36" s="48"/>
      <c r="T36" s="48"/>
      <c r="U36" s="48"/>
      <c r="V36" s="53"/>
      <c r="W36" s="125"/>
      <c r="X36" s="125"/>
      <c r="Y36" s="123"/>
      <c r="Z36" s="125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1"/>
      <c r="BR36" s="51"/>
      <c r="BS36" s="51"/>
      <c r="BT36" s="51"/>
      <c r="BU36" s="51"/>
      <c r="BV36" s="51"/>
      <c r="BW36" s="51"/>
      <c r="BX36" s="51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1"/>
      <c r="DL36" s="51"/>
      <c r="DM36" s="51"/>
      <c r="DN36" s="51"/>
      <c r="DO36" s="51"/>
      <c r="DP36" s="51"/>
      <c r="DQ36" s="51"/>
      <c r="DR36" s="51"/>
      <c r="DS36" s="51"/>
      <c r="DT36" s="51"/>
      <c r="DU36" s="51"/>
      <c r="DV36" s="51"/>
      <c r="DW36" s="51"/>
      <c r="DX36" s="51"/>
      <c r="DY36" s="51"/>
      <c r="DZ36" s="51"/>
      <c r="EA36" s="51"/>
      <c r="EB36" s="51"/>
      <c r="EC36" s="51"/>
      <c r="ED36" s="51"/>
      <c r="EE36" s="51"/>
      <c r="EF36" s="51"/>
      <c r="EG36" s="51"/>
      <c r="EH36" s="51"/>
      <c r="EI36" s="51"/>
      <c r="EJ36" s="51"/>
      <c r="EK36" s="51"/>
      <c r="EL36" s="51"/>
      <c r="EM36" s="51"/>
      <c r="EN36" s="51"/>
      <c r="EO36" s="51"/>
      <c r="EP36" s="51"/>
      <c r="EQ36" s="51"/>
      <c r="ER36" s="51"/>
      <c r="ES36" s="51"/>
      <c r="ET36" s="51"/>
      <c r="EU36" s="51"/>
      <c r="EV36" s="51"/>
      <c r="EW36" s="51"/>
      <c r="EX36" s="51"/>
      <c r="EY36" s="51"/>
      <c r="EZ36" s="51"/>
      <c r="FA36" s="51"/>
      <c r="FB36" s="51"/>
      <c r="FC36" s="51"/>
      <c r="FD36" s="51"/>
      <c r="FE36" s="51"/>
      <c r="FF36" s="51"/>
      <c r="FG36" s="51"/>
      <c r="FH36" s="51"/>
      <c r="FI36" s="51"/>
      <c r="FJ36" s="51"/>
      <c r="FK36" s="51"/>
      <c r="FL36" s="51"/>
      <c r="FM36" s="51"/>
      <c r="FN36" s="51"/>
      <c r="FO36" s="51"/>
      <c r="FP36" s="51"/>
      <c r="FQ36" s="51"/>
      <c r="FR36" s="51"/>
      <c r="FS36" s="51"/>
      <c r="FT36" s="51"/>
      <c r="FU36" s="51"/>
      <c r="FV36" s="51"/>
      <c r="FW36" s="51"/>
      <c r="FX36" s="51"/>
      <c r="FY36" s="51"/>
      <c r="FZ36" s="51"/>
      <c r="GA36" s="51"/>
      <c r="GB36" s="51"/>
      <c r="GC36" s="51"/>
      <c r="GD36" s="51"/>
      <c r="GE36" s="51"/>
      <c r="GF36" s="51"/>
    </row>
    <row r="37" spans="1:190" s="67" customFormat="1" ht="15" x14ac:dyDescent="0.25">
      <c r="A37" s="108"/>
      <c r="B37" s="111"/>
      <c r="C37" s="112"/>
      <c r="D37" s="115"/>
      <c r="E37" s="115"/>
      <c r="F37" s="70"/>
      <c r="G37" s="70"/>
      <c r="H37" s="70"/>
      <c r="I37" s="115"/>
      <c r="J37" s="70"/>
      <c r="K37" s="47">
        <v>0.3</v>
      </c>
      <c r="L37" s="57">
        <v>0</v>
      </c>
      <c r="M37" s="45"/>
      <c r="N37" s="45"/>
      <c r="O37" s="70"/>
      <c r="P37" s="70"/>
      <c r="Q37" s="70"/>
      <c r="R37" s="71"/>
      <c r="S37" s="48"/>
      <c r="T37" s="48"/>
      <c r="U37" s="48"/>
      <c r="V37" s="48"/>
      <c r="W37" s="112"/>
      <c r="X37" s="112"/>
      <c r="Y37" s="124"/>
      <c r="Z37" s="112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1"/>
      <c r="DL37" s="51"/>
      <c r="DM37" s="51"/>
      <c r="DN37" s="51"/>
      <c r="DO37" s="51"/>
      <c r="DP37" s="51"/>
      <c r="DQ37" s="51"/>
      <c r="DR37" s="51"/>
      <c r="DS37" s="51"/>
      <c r="DT37" s="51"/>
      <c r="DU37" s="51"/>
      <c r="DV37" s="51"/>
      <c r="DW37" s="51"/>
      <c r="DX37" s="51"/>
      <c r="DY37" s="51"/>
      <c r="DZ37" s="51"/>
      <c r="EA37" s="51"/>
      <c r="EB37" s="51"/>
      <c r="EC37" s="51"/>
      <c r="ED37" s="51"/>
      <c r="EE37" s="51"/>
      <c r="EF37" s="51"/>
      <c r="EG37" s="51"/>
      <c r="EH37" s="51"/>
      <c r="EI37" s="51"/>
      <c r="EJ37" s="51"/>
      <c r="EK37" s="51"/>
      <c r="EL37" s="51"/>
      <c r="EM37" s="51"/>
      <c r="EN37" s="51"/>
      <c r="EO37" s="51"/>
      <c r="EP37" s="51"/>
      <c r="EQ37" s="51"/>
      <c r="ER37" s="51"/>
      <c r="ES37" s="51"/>
      <c r="ET37" s="51"/>
      <c r="EU37" s="51"/>
      <c r="EV37" s="51"/>
      <c r="EW37" s="51"/>
      <c r="EX37" s="51"/>
      <c r="EY37" s="51"/>
      <c r="EZ37" s="51"/>
      <c r="FA37" s="51"/>
      <c r="FB37" s="51"/>
      <c r="FC37" s="51"/>
      <c r="FD37" s="51"/>
      <c r="FE37" s="51"/>
      <c r="FF37" s="51"/>
      <c r="FG37" s="51"/>
      <c r="FH37" s="51"/>
      <c r="FI37" s="51"/>
      <c r="FJ37" s="51"/>
      <c r="FK37" s="51"/>
      <c r="FL37" s="51"/>
      <c r="FM37" s="51"/>
      <c r="FN37" s="51"/>
      <c r="FO37" s="51"/>
      <c r="FP37" s="51"/>
      <c r="FQ37" s="51"/>
      <c r="FR37" s="51"/>
      <c r="FS37" s="51"/>
      <c r="FT37" s="51"/>
      <c r="FU37" s="51"/>
      <c r="FV37" s="51"/>
      <c r="FW37" s="51"/>
      <c r="FX37" s="51"/>
      <c r="FY37" s="51"/>
      <c r="FZ37" s="51"/>
      <c r="GA37" s="51"/>
      <c r="GB37" s="51"/>
      <c r="GC37" s="51"/>
      <c r="GD37" s="51"/>
      <c r="GE37" s="51"/>
      <c r="GF37" s="51"/>
    </row>
    <row r="38" spans="1:190" s="75" customFormat="1" ht="21.75" customHeight="1" x14ac:dyDescent="0.25">
      <c r="A38" s="72"/>
      <c r="B38" s="72" t="s">
        <v>38</v>
      </c>
      <c r="C38" s="73">
        <f>SUM(C20:C37)</f>
        <v>17.8</v>
      </c>
      <c r="D38" s="73">
        <f t="shared" ref="D38:J38" si="0">SUM(D20:D37)</f>
        <v>67545.404634581108</v>
      </c>
      <c r="E38" s="73">
        <f>SUM(E20:E37)</f>
        <v>119394.2888888889</v>
      </c>
      <c r="F38" s="73">
        <f t="shared" si="0"/>
        <v>0</v>
      </c>
      <c r="G38" s="73">
        <f t="shared" si="0"/>
        <v>0</v>
      </c>
      <c r="H38" s="73">
        <f t="shared" si="0"/>
        <v>0</v>
      </c>
      <c r="I38" s="73">
        <f t="shared" si="0"/>
        <v>29413.578888888889</v>
      </c>
      <c r="J38" s="73">
        <f t="shared" si="0"/>
        <v>4050.23</v>
      </c>
      <c r="K38" s="73"/>
      <c r="L38" s="73">
        <f>SUM(L20:L37)</f>
        <v>27358.981111111112</v>
      </c>
      <c r="M38" s="73">
        <f t="shared" ref="M38:S38" si="1">SUM(M20:M37)</f>
        <v>0</v>
      </c>
      <c r="N38" s="73">
        <f t="shared" si="1"/>
        <v>0</v>
      </c>
      <c r="O38" s="73">
        <f t="shared" si="1"/>
        <v>6926.125</v>
      </c>
      <c r="P38" s="73">
        <f>SUM(P20:P37)</f>
        <v>4606.43</v>
      </c>
      <c r="Q38" s="73">
        <f t="shared" si="1"/>
        <v>2490.6000000000004</v>
      </c>
      <c r="R38" s="73">
        <f t="shared" si="1"/>
        <v>0</v>
      </c>
      <c r="S38" s="73">
        <f t="shared" si="1"/>
        <v>0</v>
      </c>
      <c r="T38" s="73"/>
      <c r="U38" s="73">
        <f>SUM(U20:U37)</f>
        <v>0</v>
      </c>
      <c r="V38" s="73">
        <f>SUM(V20:V37)</f>
        <v>0</v>
      </c>
      <c r="W38" s="73">
        <f>SUM(W20:W37)</f>
        <v>192526.08388888891</v>
      </c>
      <c r="X38" s="73">
        <f t="shared" ref="X38:Z38" si="2">SUM(X20:X37)</f>
        <v>0</v>
      </c>
      <c r="Y38" s="73">
        <f t="shared" si="2"/>
        <v>0</v>
      </c>
      <c r="Z38" s="73">
        <f t="shared" si="2"/>
        <v>1155156.5033333332</v>
      </c>
      <c r="AA38" s="74">
        <f>W38*6</f>
        <v>1155156.5033333334</v>
      </c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  <c r="DB38" s="74"/>
      <c r="DC38" s="74"/>
      <c r="DD38" s="74"/>
      <c r="DE38" s="74"/>
      <c r="DF38" s="74"/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  <c r="DR38" s="74"/>
      <c r="DS38" s="74"/>
      <c r="DT38" s="74"/>
      <c r="DU38" s="74"/>
      <c r="DV38" s="74"/>
      <c r="DW38" s="74"/>
      <c r="DX38" s="74"/>
      <c r="DY38" s="74"/>
      <c r="DZ38" s="74"/>
      <c r="EA38" s="74"/>
      <c r="EB38" s="74"/>
      <c r="EC38" s="74"/>
      <c r="ED38" s="74"/>
      <c r="EE38" s="74"/>
      <c r="EF38" s="74"/>
      <c r="EG38" s="74"/>
      <c r="EH38" s="74"/>
      <c r="EI38" s="74"/>
      <c r="EJ38" s="74"/>
      <c r="EK38" s="74"/>
      <c r="EL38" s="74"/>
      <c r="EM38" s="74"/>
      <c r="EN38" s="74"/>
      <c r="EO38" s="74"/>
      <c r="EP38" s="74"/>
      <c r="EQ38" s="74"/>
      <c r="ER38" s="74"/>
      <c r="ES38" s="74"/>
      <c r="ET38" s="74"/>
      <c r="EU38" s="74"/>
      <c r="EV38" s="74"/>
      <c r="EW38" s="74"/>
      <c r="EX38" s="74"/>
      <c r="EY38" s="74"/>
      <c r="EZ38" s="74"/>
      <c r="FA38" s="74"/>
      <c r="FB38" s="74"/>
      <c r="FC38" s="74"/>
      <c r="FD38" s="74"/>
      <c r="FE38" s="74"/>
      <c r="FF38" s="74"/>
      <c r="FG38" s="74"/>
      <c r="FH38" s="74"/>
      <c r="FI38" s="74"/>
      <c r="FJ38" s="74"/>
      <c r="FK38" s="74"/>
      <c r="FL38" s="74"/>
      <c r="FM38" s="74"/>
      <c r="FN38" s="74"/>
      <c r="FO38" s="74"/>
      <c r="FP38" s="74"/>
      <c r="FQ38" s="74"/>
      <c r="FR38" s="74"/>
      <c r="FS38" s="74"/>
      <c r="FT38" s="74"/>
      <c r="FU38" s="74"/>
      <c r="FV38" s="74"/>
      <c r="FW38" s="74"/>
      <c r="FX38" s="74"/>
      <c r="FY38" s="74"/>
      <c r="FZ38" s="74"/>
      <c r="GA38" s="74"/>
      <c r="GB38" s="74"/>
      <c r="GC38" s="74"/>
      <c r="GD38" s="74"/>
      <c r="GE38" s="74"/>
      <c r="GF38" s="74"/>
    </row>
    <row r="39" spans="1:190" s="51" customFormat="1" ht="30" x14ac:dyDescent="0.25">
      <c r="A39" s="76">
        <v>10</v>
      </c>
      <c r="B39" s="77" t="s">
        <v>39</v>
      </c>
      <c r="C39" s="78">
        <v>1</v>
      </c>
      <c r="D39" s="79">
        <v>4379</v>
      </c>
      <c r="E39" s="79">
        <f>D39*C39</f>
        <v>4379</v>
      </c>
      <c r="F39" s="79"/>
      <c r="G39" s="79"/>
      <c r="H39" s="79"/>
      <c r="I39" s="79"/>
      <c r="J39" s="79">
        <f>E39*0.3</f>
        <v>1313.7</v>
      </c>
      <c r="K39" s="79"/>
      <c r="L39" s="79"/>
      <c r="M39" s="79"/>
      <c r="N39" s="79"/>
      <c r="O39" s="79"/>
      <c r="P39" s="79"/>
      <c r="Q39" s="79"/>
      <c r="R39" s="79"/>
      <c r="S39" s="79"/>
      <c r="T39" s="80"/>
      <c r="U39" s="81"/>
      <c r="V39" s="45">
        <f>6000*C39-(E39+J39+L39+M39+R39)</f>
        <v>307.30000000000018</v>
      </c>
      <c r="W39" s="82">
        <f>E39+I39+J39+L39+M39+N39+O39+P39+Q39+R39+S39+U39+V39</f>
        <v>6000</v>
      </c>
      <c r="X39" s="83"/>
      <c r="Y39" s="83"/>
      <c r="Z39" s="82">
        <f t="shared" ref="Z39:Z46" si="3">W39*6+Y39</f>
        <v>36000</v>
      </c>
    </row>
    <row r="40" spans="1:190" s="59" customFormat="1" ht="15" x14ac:dyDescent="0.25">
      <c r="A40" s="40">
        <v>11</v>
      </c>
      <c r="B40" s="43" t="s">
        <v>40</v>
      </c>
      <c r="C40" s="84">
        <v>0.5</v>
      </c>
      <c r="D40" s="45">
        <v>5786</v>
      </c>
      <c r="E40" s="79">
        <f t="shared" ref="E40:E46" si="4">D40*C40</f>
        <v>2893</v>
      </c>
      <c r="F40" s="45"/>
      <c r="G40" s="45"/>
      <c r="H40" s="45"/>
      <c r="I40" s="45"/>
      <c r="J40" s="45"/>
      <c r="K40" s="84"/>
      <c r="L40" s="45"/>
      <c r="M40" s="45">
        <f>E40*0.05</f>
        <v>144.65</v>
      </c>
      <c r="N40" s="45"/>
      <c r="O40" s="45"/>
      <c r="P40" s="45"/>
      <c r="Q40" s="45"/>
      <c r="R40" s="45">
        <f>E40*0.5</f>
        <v>1446.5</v>
      </c>
      <c r="S40" s="45"/>
      <c r="T40" s="45"/>
      <c r="U40" s="45"/>
      <c r="V40" s="45"/>
      <c r="W40" s="82">
        <f>E40+I40+J40+L40+M40+N40+O40+P40+Q40+R40+S40+U40+V40</f>
        <v>4484.1499999999996</v>
      </c>
      <c r="X40" s="50"/>
      <c r="Y40" s="83"/>
      <c r="Z40" s="82">
        <f t="shared" si="3"/>
        <v>26904.899999999998</v>
      </c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1"/>
      <c r="DL40" s="51"/>
      <c r="DM40" s="51"/>
      <c r="DN40" s="51"/>
      <c r="DO40" s="51"/>
      <c r="DP40" s="51"/>
      <c r="DQ40" s="51"/>
      <c r="DR40" s="51"/>
      <c r="DS40" s="51"/>
      <c r="DT40" s="51"/>
      <c r="DU40" s="51"/>
      <c r="DV40" s="51"/>
      <c r="DW40" s="51"/>
      <c r="DX40" s="51"/>
      <c r="DY40" s="51"/>
      <c r="DZ40" s="51"/>
      <c r="EA40" s="51"/>
      <c r="EB40" s="51"/>
      <c r="EC40" s="51"/>
      <c r="ED40" s="51"/>
      <c r="EE40" s="51"/>
      <c r="EF40" s="51"/>
      <c r="EG40" s="51"/>
      <c r="EH40" s="51"/>
      <c r="EI40" s="51"/>
      <c r="EJ40" s="51"/>
      <c r="EK40" s="51"/>
      <c r="EL40" s="51"/>
      <c r="EM40" s="51"/>
      <c r="EN40" s="51"/>
      <c r="EO40" s="51"/>
      <c r="EP40" s="51"/>
      <c r="EQ40" s="51"/>
      <c r="ER40" s="51"/>
      <c r="ES40" s="51"/>
      <c r="ET40" s="51"/>
      <c r="EU40" s="51"/>
      <c r="EV40" s="51"/>
      <c r="EW40" s="51"/>
      <c r="EX40" s="51"/>
      <c r="EY40" s="51"/>
      <c r="EZ40" s="51"/>
      <c r="FA40" s="51"/>
      <c r="FB40" s="51"/>
      <c r="FC40" s="51"/>
      <c r="FD40" s="51"/>
      <c r="FE40" s="51"/>
      <c r="FF40" s="51"/>
      <c r="FG40" s="51"/>
      <c r="FH40" s="51"/>
      <c r="FI40" s="51"/>
      <c r="FJ40" s="51"/>
      <c r="FK40" s="51"/>
      <c r="FL40" s="51"/>
      <c r="FM40" s="51"/>
      <c r="FN40" s="51"/>
      <c r="FO40" s="51"/>
      <c r="FP40" s="51"/>
      <c r="FQ40" s="51"/>
      <c r="FR40" s="51"/>
      <c r="FS40" s="51"/>
      <c r="FT40" s="51"/>
      <c r="FU40" s="51"/>
      <c r="FV40" s="51"/>
      <c r="FW40" s="51"/>
      <c r="FX40" s="51"/>
      <c r="FY40" s="51"/>
      <c r="FZ40" s="51"/>
      <c r="GA40" s="51"/>
      <c r="GB40" s="51"/>
      <c r="GC40" s="51"/>
      <c r="GD40" s="51"/>
      <c r="GE40" s="51"/>
      <c r="GF40" s="51"/>
    </row>
    <row r="41" spans="1:190" s="33" customFormat="1" ht="15" x14ac:dyDescent="0.2">
      <c r="A41" s="55">
        <v>12</v>
      </c>
      <c r="B41" s="69" t="s">
        <v>41</v>
      </c>
      <c r="C41" s="85">
        <v>0.5</v>
      </c>
      <c r="D41" s="57">
        <v>4379</v>
      </c>
      <c r="E41" s="79">
        <f t="shared" si="4"/>
        <v>2189.5</v>
      </c>
      <c r="F41" s="60"/>
      <c r="G41" s="60"/>
      <c r="H41" s="60"/>
      <c r="I41" s="57"/>
      <c r="J41" s="57">
        <f>E41*0.5</f>
        <v>1094.75</v>
      </c>
      <c r="K41" s="52">
        <v>0.3</v>
      </c>
      <c r="L41" s="57">
        <f>E41*0.3</f>
        <v>656.85</v>
      </c>
      <c r="M41" s="60"/>
      <c r="N41" s="60"/>
      <c r="O41" s="60"/>
      <c r="P41" s="60"/>
      <c r="Q41" s="60"/>
      <c r="R41" s="60"/>
      <c r="S41" s="86"/>
      <c r="T41" s="87">
        <v>10</v>
      </c>
      <c r="U41" s="57">
        <f>E41*T41%</f>
        <v>218.95000000000002</v>
      </c>
      <c r="V41" s="45"/>
      <c r="W41" s="82">
        <f t="shared" ref="W41:W46" si="5">E41+I41+J41+L41+M41+N41+O41+P41+Q41+R41+S41+U41+V41</f>
        <v>4160.05</v>
      </c>
      <c r="X41" s="88"/>
      <c r="Y41" s="83"/>
      <c r="Z41" s="82">
        <f t="shared" si="3"/>
        <v>24960.300000000003</v>
      </c>
    </row>
    <row r="42" spans="1:190" s="51" customFormat="1" ht="29.25" customHeight="1" x14ac:dyDescent="0.25">
      <c r="A42" s="40">
        <v>13</v>
      </c>
      <c r="B42" s="43" t="s">
        <v>42</v>
      </c>
      <c r="C42" s="89">
        <v>1</v>
      </c>
      <c r="D42" s="45">
        <v>4379</v>
      </c>
      <c r="E42" s="79">
        <f t="shared" si="4"/>
        <v>4379</v>
      </c>
      <c r="F42" s="45"/>
      <c r="G42" s="45"/>
      <c r="H42" s="45"/>
      <c r="I42" s="45"/>
      <c r="J42" s="45"/>
      <c r="K42" s="84"/>
      <c r="L42" s="84"/>
      <c r="M42" s="45"/>
      <c r="N42" s="45"/>
      <c r="O42" s="84"/>
      <c r="P42" s="84"/>
      <c r="Q42" s="84"/>
      <c r="R42" s="84"/>
      <c r="S42" s="84"/>
      <c r="T42" s="84"/>
      <c r="U42" s="45"/>
      <c r="V42" s="45">
        <f>6000*C42-(E42+J42+L42+M42+R42)</f>
        <v>1621</v>
      </c>
      <c r="W42" s="82">
        <f t="shared" si="5"/>
        <v>6000</v>
      </c>
      <c r="X42" s="50"/>
      <c r="Y42" s="83"/>
      <c r="Z42" s="82">
        <f t="shared" si="3"/>
        <v>36000</v>
      </c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</row>
    <row r="43" spans="1:190" s="51" customFormat="1" ht="30" x14ac:dyDescent="0.25">
      <c r="A43" s="40">
        <v>14</v>
      </c>
      <c r="B43" s="43" t="s">
        <v>43</v>
      </c>
      <c r="C43" s="89">
        <v>1.5</v>
      </c>
      <c r="D43" s="45">
        <v>2910</v>
      </c>
      <c r="E43" s="79">
        <f t="shared" si="4"/>
        <v>4365</v>
      </c>
      <c r="F43" s="45"/>
      <c r="G43" s="45"/>
      <c r="H43" s="45"/>
      <c r="I43" s="45"/>
      <c r="J43" s="45"/>
      <c r="K43" s="84"/>
      <c r="L43" s="84"/>
      <c r="M43" s="45"/>
      <c r="N43" s="45"/>
      <c r="O43" s="84"/>
      <c r="P43" s="84"/>
      <c r="Q43" s="84"/>
      <c r="R43" s="84"/>
      <c r="S43" s="84"/>
      <c r="T43" s="91">
        <v>10</v>
      </c>
      <c r="U43" s="45">
        <f>E43*T43%</f>
        <v>436.5</v>
      </c>
      <c r="V43" s="45">
        <f>6000*C43-(E43+J43+L43+M43+R43)</f>
        <v>4635</v>
      </c>
      <c r="W43" s="82">
        <f t="shared" si="5"/>
        <v>9436.5</v>
      </c>
      <c r="X43" s="50"/>
      <c r="Y43" s="83"/>
      <c r="Z43" s="82">
        <f t="shared" si="3"/>
        <v>56619</v>
      </c>
    </row>
    <row r="44" spans="1:190" s="51" customFormat="1" ht="15" x14ac:dyDescent="0.25">
      <c r="A44" s="40">
        <v>15</v>
      </c>
      <c r="B44" s="43" t="s">
        <v>44</v>
      </c>
      <c r="C44" s="89">
        <v>1</v>
      </c>
      <c r="D44" s="45">
        <v>2910</v>
      </c>
      <c r="E44" s="79">
        <f t="shared" si="4"/>
        <v>2910</v>
      </c>
      <c r="F44" s="45"/>
      <c r="G44" s="45"/>
      <c r="H44" s="45"/>
      <c r="I44" s="45"/>
      <c r="J44" s="45"/>
      <c r="K44" s="84"/>
      <c r="L44" s="84"/>
      <c r="M44" s="45"/>
      <c r="N44" s="45"/>
      <c r="O44" s="84"/>
      <c r="P44" s="84"/>
      <c r="Q44" s="84"/>
      <c r="R44" s="84"/>
      <c r="S44" s="92">
        <f>D44*1.4/167*23*1</f>
        <v>561.08982035928136</v>
      </c>
      <c r="T44" s="91"/>
      <c r="U44" s="45"/>
      <c r="V44" s="45">
        <f>6000*C44-(E44+J44+L44+M44+R44)</f>
        <v>3090</v>
      </c>
      <c r="W44" s="82">
        <f t="shared" si="5"/>
        <v>6561.0898203592815</v>
      </c>
      <c r="X44" s="50"/>
      <c r="Y44" s="83"/>
      <c r="Z44" s="82">
        <f t="shared" si="3"/>
        <v>39366.538922155691</v>
      </c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  <c r="DU44" s="33"/>
      <c r="DV44" s="33"/>
      <c r="DW44" s="33"/>
      <c r="DX44" s="33"/>
      <c r="DY44" s="33"/>
      <c r="DZ44" s="33"/>
      <c r="EA44" s="33"/>
      <c r="EB44" s="33"/>
      <c r="EC44" s="33"/>
      <c r="ED44" s="33"/>
      <c r="EE44" s="33"/>
      <c r="EF44" s="33"/>
      <c r="EG44" s="33"/>
      <c r="EH44" s="33"/>
      <c r="EI44" s="33"/>
      <c r="EJ44" s="33"/>
      <c r="EK44" s="33"/>
      <c r="EL44" s="33"/>
      <c r="EM44" s="33"/>
      <c r="EN44" s="33"/>
      <c r="EO44" s="33"/>
      <c r="EP44" s="33"/>
      <c r="EQ44" s="33"/>
      <c r="ER44" s="33"/>
      <c r="ES44" s="33"/>
      <c r="ET44" s="33"/>
      <c r="EU44" s="33"/>
      <c r="EV44" s="33"/>
      <c r="EW44" s="33"/>
      <c r="EX44" s="33"/>
      <c r="EY44" s="33"/>
      <c r="EZ44" s="33"/>
      <c r="FA44" s="33"/>
      <c r="FB44" s="33"/>
      <c r="FC44" s="33"/>
      <c r="FD44" s="33"/>
      <c r="FE44" s="33"/>
      <c r="FF44" s="33"/>
      <c r="FG44" s="33"/>
      <c r="FH44" s="33"/>
      <c r="FI44" s="33"/>
      <c r="FJ44" s="33"/>
      <c r="FK44" s="33"/>
      <c r="FL44" s="33"/>
      <c r="FM44" s="33"/>
      <c r="FN44" s="33"/>
      <c r="FO44" s="33"/>
      <c r="FP44" s="33"/>
      <c r="FQ44" s="33"/>
      <c r="FR44" s="33"/>
      <c r="FS44" s="33"/>
      <c r="FT44" s="33"/>
      <c r="FU44" s="33"/>
      <c r="FV44" s="33"/>
      <c r="FW44" s="33"/>
      <c r="FX44" s="33"/>
      <c r="FY44" s="33"/>
      <c r="FZ44" s="33"/>
      <c r="GA44" s="33"/>
      <c r="GB44" s="33"/>
      <c r="GC44" s="33"/>
      <c r="GD44" s="33"/>
      <c r="GE44" s="33"/>
      <c r="GF44" s="33"/>
      <c r="GG44" s="33"/>
      <c r="GH44" s="33"/>
    </row>
    <row r="45" spans="1:190" s="51" customFormat="1" ht="15" x14ac:dyDescent="0.25">
      <c r="A45" s="40">
        <v>16</v>
      </c>
      <c r="B45" s="43" t="s">
        <v>45</v>
      </c>
      <c r="C45" s="89">
        <v>0</v>
      </c>
      <c r="D45" s="45"/>
      <c r="E45" s="79">
        <f t="shared" si="4"/>
        <v>0</v>
      </c>
      <c r="F45" s="45"/>
      <c r="G45" s="45"/>
      <c r="H45" s="45"/>
      <c r="I45" s="45"/>
      <c r="J45" s="45"/>
      <c r="K45" s="84"/>
      <c r="L45" s="84"/>
      <c r="M45" s="45"/>
      <c r="N45" s="45"/>
      <c r="O45" s="84"/>
      <c r="P45" s="84"/>
      <c r="Q45" s="84"/>
      <c r="R45" s="84"/>
      <c r="S45" s="92"/>
      <c r="T45" s="91"/>
      <c r="U45" s="45">
        <f>E45*T45%</f>
        <v>0</v>
      </c>
      <c r="V45" s="45">
        <f>6000*C45-(E45+J45+L45+M45+R45)</f>
        <v>0</v>
      </c>
      <c r="W45" s="82">
        <f t="shared" si="5"/>
        <v>0</v>
      </c>
      <c r="X45" s="50"/>
      <c r="Y45" s="83"/>
      <c r="Z45" s="82">
        <f t="shared" si="3"/>
        <v>0</v>
      </c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  <c r="DU45" s="33"/>
      <c r="DV45" s="33"/>
      <c r="DW45" s="33"/>
      <c r="DX45" s="33"/>
      <c r="DY45" s="33"/>
      <c r="DZ45" s="33"/>
      <c r="EA45" s="33"/>
      <c r="EB45" s="33"/>
      <c r="EC45" s="33"/>
      <c r="ED45" s="33"/>
      <c r="EE45" s="33"/>
      <c r="EF45" s="33"/>
      <c r="EG45" s="33"/>
      <c r="EH45" s="33"/>
      <c r="EI45" s="33"/>
      <c r="EJ45" s="33"/>
      <c r="EK45" s="33"/>
      <c r="EL45" s="33"/>
      <c r="EM45" s="33"/>
      <c r="EN45" s="33"/>
      <c r="EO45" s="33"/>
      <c r="EP45" s="33"/>
      <c r="EQ45" s="33"/>
      <c r="ER45" s="33"/>
      <c r="ES45" s="33"/>
      <c r="ET45" s="33"/>
      <c r="EU45" s="33"/>
      <c r="EV45" s="33"/>
      <c r="EW45" s="33"/>
      <c r="EX45" s="33"/>
      <c r="EY45" s="33"/>
      <c r="EZ45" s="33"/>
      <c r="FA45" s="33"/>
      <c r="FB45" s="33"/>
      <c r="FC45" s="33"/>
      <c r="FD45" s="33"/>
      <c r="FE45" s="33"/>
      <c r="FF45" s="33"/>
      <c r="FG45" s="33"/>
      <c r="FH45" s="33"/>
      <c r="FI45" s="33"/>
      <c r="FJ45" s="33"/>
      <c r="FK45" s="33"/>
      <c r="FL45" s="33"/>
      <c r="FM45" s="33"/>
      <c r="FN45" s="33"/>
      <c r="FO45" s="33"/>
      <c r="FP45" s="33"/>
      <c r="FQ45" s="33"/>
      <c r="FR45" s="33"/>
      <c r="FS45" s="33"/>
      <c r="FT45" s="33"/>
      <c r="FU45" s="33"/>
      <c r="FV45" s="33"/>
      <c r="FW45" s="33"/>
      <c r="FX45" s="33"/>
      <c r="FY45" s="33"/>
      <c r="FZ45" s="33"/>
      <c r="GA45" s="33"/>
      <c r="GB45" s="33"/>
      <c r="GC45" s="33"/>
      <c r="GD45" s="33"/>
      <c r="GE45" s="33"/>
      <c r="GF45" s="33"/>
      <c r="GG45" s="33"/>
      <c r="GH45" s="33"/>
    </row>
    <row r="46" spans="1:190" s="51" customFormat="1" ht="15" x14ac:dyDescent="0.25">
      <c r="A46" s="40">
        <v>17</v>
      </c>
      <c r="B46" s="43" t="s">
        <v>46</v>
      </c>
      <c r="C46" s="89">
        <v>1</v>
      </c>
      <c r="D46" s="45">
        <v>2670</v>
      </c>
      <c r="E46" s="79">
        <f t="shared" si="4"/>
        <v>2670</v>
      </c>
      <c r="F46" s="45"/>
      <c r="G46" s="45"/>
      <c r="H46" s="45"/>
      <c r="I46" s="45"/>
      <c r="J46" s="45"/>
      <c r="K46" s="84"/>
      <c r="L46" s="45"/>
      <c r="M46" s="45"/>
      <c r="N46" s="45"/>
      <c r="O46" s="45"/>
      <c r="P46" s="45"/>
      <c r="Q46" s="45"/>
      <c r="R46" s="45"/>
      <c r="S46" s="84"/>
      <c r="T46" s="91"/>
      <c r="U46" s="45">
        <f>E46*T46%</f>
        <v>0</v>
      </c>
      <c r="V46" s="45">
        <f>6000*C46-(E46+J46+L46+M46+R46)</f>
        <v>3330</v>
      </c>
      <c r="W46" s="93">
        <f t="shared" si="5"/>
        <v>6000</v>
      </c>
      <c r="X46" s="50"/>
      <c r="Y46" s="83"/>
      <c r="Z46" s="82">
        <f t="shared" si="3"/>
        <v>36000</v>
      </c>
      <c r="AA46" s="90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  <c r="GB46" s="33"/>
      <c r="GC46" s="33"/>
      <c r="GD46" s="33"/>
      <c r="GE46" s="33"/>
      <c r="GF46" s="33"/>
      <c r="GG46" s="33"/>
      <c r="GH46" s="33"/>
    </row>
    <row r="47" spans="1:190" s="95" customFormat="1" ht="24" customHeight="1" x14ac:dyDescent="0.25">
      <c r="A47" s="72"/>
      <c r="B47" s="72" t="s">
        <v>47</v>
      </c>
      <c r="C47" s="73">
        <f>SUM(C39:C46)</f>
        <v>6.5</v>
      </c>
      <c r="D47" s="73">
        <f>SUM(D39:D46)</f>
        <v>27413</v>
      </c>
      <c r="E47" s="73">
        <f>SUM(E39:E46)</f>
        <v>23785.5</v>
      </c>
      <c r="F47" s="73">
        <f t="shared" ref="F47:V47" si="6">SUM(F39:F46)</f>
        <v>0</v>
      </c>
      <c r="G47" s="73">
        <f t="shared" si="6"/>
        <v>0</v>
      </c>
      <c r="H47" s="73">
        <f t="shared" si="6"/>
        <v>0</v>
      </c>
      <c r="I47" s="73">
        <f t="shared" si="6"/>
        <v>0</v>
      </c>
      <c r="J47" s="73">
        <f t="shared" si="6"/>
        <v>2408.4499999999998</v>
      </c>
      <c r="K47" s="73"/>
      <c r="L47" s="73">
        <f t="shared" si="6"/>
        <v>656.85</v>
      </c>
      <c r="M47" s="73">
        <f t="shared" si="6"/>
        <v>144.65</v>
      </c>
      <c r="N47" s="73">
        <f t="shared" si="6"/>
        <v>0</v>
      </c>
      <c r="O47" s="73">
        <f t="shared" si="6"/>
        <v>0</v>
      </c>
      <c r="P47" s="73">
        <f t="shared" si="6"/>
        <v>0</v>
      </c>
      <c r="Q47" s="73">
        <f t="shared" si="6"/>
        <v>0</v>
      </c>
      <c r="R47" s="73">
        <f t="shared" si="6"/>
        <v>1446.5</v>
      </c>
      <c r="S47" s="73">
        <f t="shared" si="6"/>
        <v>561.08982035928136</v>
      </c>
      <c r="T47" s="73"/>
      <c r="U47" s="73">
        <f t="shared" si="6"/>
        <v>655.45</v>
      </c>
      <c r="V47" s="73">
        <f t="shared" si="6"/>
        <v>12983.3</v>
      </c>
      <c r="W47" s="73">
        <f>SUM(W39:W46)</f>
        <v>42641.789820359285</v>
      </c>
      <c r="X47" s="73">
        <f>SUM(X39:X46)</f>
        <v>0</v>
      </c>
      <c r="Y47" s="73">
        <f>SUM(Y39:Y46)</f>
        <v>0</v>
      </c>
      <c r="Z47" s="73">
        <f>SUM(Z39:Z46)</f>
        <v>255850.7389221557</v>
      </c>
      <c r="AA47" s="74">
        <f>W47*6</f>
        <v>255850.7389221557</v>
      </c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  <c r="BJ47" s="94"/>
      <c r="BK47" s="94"/>
      <c r="BL47" s="94"/>
      <c r="BM47" s="94"/>
      <c r="BN47" s="94"/>
      <c r="BO47" s="94"/>
      <c r="BP47" s="94"/>
      <c r="BQ47" s="94"/>
      <c r="BR47" s="94"/>
      <c r="BS47" s="94"/>
      <c r="BT47" s="94"/>
      <c r="BU47" s="94"/>
      <c r="BV47" s="94"/>
      <c r="BW47" s="94"/>
      <c r="BX47" s="94"/>
      <c r="BY47" s="94"/>
      <c r="BZ47" s="94"/>
      <c r="CA47" s="94"/>
      <c r="CB47" s="94"/>
      <c r="CC47" s="94"/>
      <c r="CD47" s="94"/>
      <c r="CE47" s="94"/>
      <c r="CF47" s="94"/>
      <c r="CG47" s="94"/>
      <c r="CH47" s="94"/>
      <c r="CI47" s="94"/>
      <c r="CJ47" s="94"/>
      <c r="CK47" s="94"/>
      <c r="CL47" s="94"/>
      <c r="CM47" s="94"/>
      <c r="CN47" s="94"/>
      <c r="CO47" s="94"/>
      <c r="CP47" s="94"/>
      <c r="CQ47" s="94"/>
      <c r="CR47" s="94"/>
      <c r="CS47" s="94"/>
      <c r="CT47" s="94"/>
      <c r="CU47" s="94"/>
      <c r="CV47" s="94"/>
      <c r="CW47" s="94"/>
      <c r="CX47" s="94"/>
      <c r="CY47" s="94"/>
      <c r="CZ47" s="94"/>
      <c r="DA47" s="94"/>
      <c r="DB47" s="94"/>
      <c r="DC47" s="94"/>
      <c r="DD47" s="94"/>
      <c r="DE47" s="94"/>
      <c r="DF47" s="94"/>
      <c r="DG47" s="94"/>
      <c r="DH47" s="94"/>
      <c r="DI47" s="94"/>
      <c r="DJ47" s="94"/>
      <c r="DK47" s="94"/>
      <c r="DL47" s="94"/>
      <c r="DM47" s="94"/>
      <c r="DN47" s="94"/>
      <c r="DO47" s="94"/>
      <c r="DP47" s="94"/>
      <c r="DQ47" s="94"/>
      <c r="DR47" s="94"/>
      <c r="DS47" s="94"/>
      <c r="DT47" s="94"/>
      <c r="DU47" s="94"/>
      <c r="DV47" s="94"/>
      <c r="DW47" s="94"/>
      <c r="DX47" s="94"/>
      <c r="DY47" s="94"/>
      <c r="DZ47" s="94"/>
      <c r="EA47" s="94"/>
      <c r="EB47" s="94"/>
      <c r="EC47" s="94"/>
      <c r="ED47" s="94"/>
      <c r="EE47" s="94"/>
      <c r="EF47" s="94"/>
      <c r="EG47" s="94"/>
      <c r="EH47" s="94"/>
      <c r="EI47" s="94"/>
      <c r="EJ47" s="94"/>
      <c r="EK47" s="94"/>
      <c r="EL47" s="94"/>
      <c r="EM47" s="94"/>
      <c r="EN47" s="94"/>
      <c r="EO47" s="94"/>
      <c r="EP47" s="94"/>
      <c r="EQ47" s="94"/>
      <c r="ER47" s="94"/>
      <c r="ES47" s="94"/>
      <c r="ET47" s="94"/>
      <c r="EU47" s="94"/>
      <c r="EV47" s="94"/>
      <c r="EW47" s="94"/>
      <c r="EX47" s="94"/>
      <c r="EY47" s="94"/>
      <c r="EZ47" s="94"/>
      <c r="FA47" s="94"/>
      <c r="FB47" s="94"/>
      <c r="FC47" s="94"/>
      <c r="FD47" s="94"/>
      <c r="FE47" s="94"/>
      <c r="FF47" s="94"/>
      <c r="FG47" s="94"/>
      <c r="FH47" s="94"/>
      <c r="FI47" s="94"/>
      <c r="FJ47" s="94"/>
      <c r="FK47" s="94"/>
      <c r="FL47" s="94"/>
      <c r="FM47" s="94"/>
      <c r="FN47" s="94"/>
      <c r="FO47" s="94"/>
      <c r="FP47" s="94"/>
      <c r="FQ47" s="94"/>
      <c r="FR47" s="94"/>
      <c r="FS47" s="94"/>
      <c r="FT47" s="94"/>
      <c r="FU47" s="94"/>
      <c r="FV47" s="94"/>
      <c r="FW47" s="94"/>
      <c r="FX47" s="94"/>
      <c r="FY47" s="94"/>
      <c r="FZ47" s="94"/>
      <c r="GA47" s="94"/>
      <c r="GB47" s="94"/>
      <c r="GC47" s="94"/>
      <c r="GD47" s="94"/>
      <c r="GE47" s="94"/>
      <c r="GF47" s="94"/>
      <c r="GG47" s="94"/>
      <c r="GH47" s="94"/>
    </row>
    <row r="48" spans="1:190" s="74" customFormat="1" ht="24.75" customHeight="1" x14ac:dyDescent="0.25">
      <c r="A48" s="50"/>
      <c r="B48" s="72" t="s">
        <v>48</v>
      </c>
      <c r="C48" s="72">
        <f>C38+C47</f>
        <v>24.3</v>
      </c>
      <c r="D48" s="72">
        <f t="shared" ref="D48:S48" si="7">D38+D47</f>
        <v>94958.404634581108</v>
      </c>
      <c r="E48" s="72">
        <f t="shared" si="7"/>
        <v>143179.7888888889</v>
      </c>
      <c r="F48" s="72">
        <f t="shared" si="7"/>
        <v>0</v>
      </c>
      <c r="G48" s="72">
        <f t="shared" si="7"/>
        <v>0</v>
      </c>
      <c r="H48" s="72">
        <f t="shared" si="7"/>
        <v>0</v>
      </c>
      <c r="I48" s="72">
        <f t="shared" si="7"/>
        <v>29413.578888888889</v>
      </c>
      <c r="J48" s="72">
        <f t="shared" si="7"/>
        <v>6458.68</v>
      </c>
      <c r="K48" s="72">
        <f t="shared" si="7"/>
        <v>0</v>
      </c>
      <c r="L48" s="72">
        <f t="shared" si="7"/>
        <v>28015.831111111111</v>
      </c>
      <c r="M48" s="72">
        <f t="shared" si="7"/>
        <v>144.65</v>
      </c>
      <c r="N48" s="72">
        <f t="shared" si="7"/>
        <v>0</v>
      </c>
      <c r="O48" s="72">
        <f t="shared" si="7"/>
        <v>6926.125</v>
      </c>
      <c r="P48" s="72">
        <f t="shared" si="7"/>
        <v>4606.43</v>
      </c>
      <c r="Q48" s="72">
        <f t="shared" si="7"/>
        <v>2490.6000000000004</v>
      </c>
      <c r="R48" s="72">
        <f t="shared" si="7"/>
        <v>1446.5</v>
      </c>
      <c r="S48" s="72">
        <f t="shared" si="7"/>
        <v>561.08982035928136</v>
      </c>
      <c r="T48" s="72"/>
      <c r="U48" s="72">
        <f t="shared" ref="U48:Z48" si="8">U38+U47</f>
        <v>655.45</v>
      </c>
      <c r="V48" s="72">
        <f t="shared" si="8"/>
        <v>12983.3</v>
      </c>
      <c r="W48" s="72">
        <f>W38+W47</f>
        <v>235167.8737092482</v>
      </c>
      <c r="X48" s="72">
        <f t="shared" si="8"/>
        <v>0</v>
      </c>
      <c r="Y48" s="72">
        <f t="shared" si="8"/>
        <v>0</v>
      </c>
      <c r="Z48" s="72">
        <f t="shared" si="8"/>
        <v>1411007.2422554889</v>
      </c>
      <c r="AA48" s="74">
        <f>W48*6</f>
        <v>1411007.2422554893</v>
      </c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  <c r="BB48" s="94"/>
      <c r="BC48" s="94"/>
      <c r="BD48" s="94"/>
      <c r="BE48" s="94"/>
      <c r="BF48" s="94"/>
      <c r="BG48" s="94"/>
      <c r="BH48" s="94"/>
      <c r="BI48" s="94"/>
      <c r="BJ48" s="94"/>
      <c r="BK48" s="94"/>
      <c r="BL48" s="94"/>
      <c r="BM48" s="94"/>
      <c r="BN48" s="94"/>
      <c r="BO48" s="94"/>
      <c r="BP48" s="94"/>
      <c r="BQ48" s="94"/>
      <c r="BR48" s="94"/>
      <c r="BS48" s="94"/>
      <c r="BT48" s="94"/>
      <c r="BU48" s="94"/>
      <c r="BV48" s="94"/>
      <c r="BW48" s="94"/>
      <c r="BX48" s="94"/>
      <c r="BY48" s="94"/>
      <c r="BZ48" s="94"/>
      <c r="CA48" s="94"/>
      <c r="CB48" s="94"/>
      <c r="CC48" s="94"/>
      <c r="CD48" s="94"/>
      <c r="CE48" s="94"/>
      <c r="CF48" s="94"/>
      <c r="CG48" s="94"/>
      <c r="CH48" s="94"/>
      <c r="CI48" s="94"/>
      <c r="CJ48" s="94"/>
      <c r="CK48" s="94"/>
      <c r="CL48" s="94"/>
      <c r="CM48" s="94"/>
      <c r="CN48" s="94"/>
      <c r="CO48" s="94"/>
      <c r="CP48" s="94"/>
      <c r="CQ48" s="94"/>
      <c r="CR48" s="94"/>
      <c r="CS48" s="94"/>
      <c r="CT48" s="94"/>
      <c r="CU48" s="94"/>
      <c r="CV48" s="94"/>
      <c r="CW48" s="94"/>
      <c r="CX48" s="94"/>
      <c r="CY48" s="94"/>
      <c r="CZ48" s="94"/>
      <c r="DA48" s="94"/>
      <c r="DB48" s="94"/>
      <c r="DC48" s="94"/>
      <c r="DD48" s="94"/>
      <c r="DE48" s="94"/>
      <c r="DF48" s="94"/>
      <c r="DG48" s="94"/>
      <c r="DH48" s="94"/>
      <c r="DI48" s="94"/>
      <c r="DJ48" s="94"/>
      <c r="DK48" s="94"/>
      <c r="DL48" s="94"/>
      <c r="DM48" s="94"/>
      <c r="DN48" s="94"/>
      <c r="DO48" s="94"/>
      <c r="DP48" s="94"/>
      <c r="DQ48" s="94"/>
      <c r="DR48" s="94"/>
      <c r="DS48" s="94"/>
      <c r="DT48" s="94"/>
      <c r="DU48" s="94"/>
      <c r="DV48" s="94"/>
      <c r="DW48" s="94"/>
      <c r="DX48" s="94"/>
      <c r="DY48" s="94"/>
      <c r="DZ48" s="94"/>
      <c r="EA48" s="94"/>
      <c r="EB48" s="94"/>
      <c r="EC48" s="94"/>
      <c r="ED48" s="94"/>
      <c r="EE48" s="94"/>
      <c r="EF48" s="94"/>
      <c r="EG48" s="94"/>
      <c r="EH48" s="94"/>
      <c r="EI48" s="94"/>
      <c r="EJ48" s="94"/>
      <c r="EK48" s="94"/>
      <c r="EL48" s="94"/>
      <c r="EM48" s="94"/>
      <c r="EN48" s="94"/>
      <c r="EO48" s="94"/>
      <c r="EP48" s="94"/>
      <c r="EQ48" s="94"/>
      <c r="ER48" s="94"/>
      <c r="ES48" s="94"/>
      <c r="ET48" s="94"/>
      <c r="EU48" s="94"/>
      <c r="EV48" s="94"/>
      <c r="EW48" s="94"/>
      <c r="EX48" s="94"/>
      <c r="EY48" s="94"/>
      <c r="EZ48" s="94"/>
      <c r="FA48" s="94"/>
      <c r="FB48" s="94"/>
      <c r="FC48" s="94"/>
      <c r="FD48" s="94"/>
      <c r="FE48" s="94"/>
      <c r="FF48" s="94"/>
      <c r="FG48" s="94"/>
      <c r="FH48" s="94"/>
      <c r="FI48" s="94"/>
      <c r="FJ48" s="94"/>
      <c r="FK48" s="94"/>
      <c r="FL48" s="94"/>
      <c r="FM48" s="94"/>
      <c r="FN48" s="94"/>
      <c r="FO48" s="94"/>
      <c r="FP48" s="94"/>
      <c r="FQ48" s="94"/>
      <c r="FR48" s="94"/>
      <c r="FS48" s="94"/>
      <c r="FT48" s="94"/>
      <c r="FU48" s="94"/>
      <c r="FV48" s="94"/>
      <c r="FW48" s="94"/>
      <c r="FX48" s="94"/>
      <c r="FY48" s="94"/>
      <c r="FZ48" s="94"/>
      <c r="GA48" s="94"/>
      <c r="GB48" s="94"/>
      <c r="GC48" s="94"/>
      <c r="GD48" s="94"/>
      <c r="GE48" s="94"/>
      <c r="GF48" s="94"/>
      <c r="GG48" s="94"/>
      <c r="GH48" s="94"/>
    </row>
    <row r="49" spans="1:190" s="51" customFormat="1" ht="12" customHeight="1" x14ac:dyDescent="0.25">
      <c r="A49" s="51" t="s">
        <v>49</v>
      </c>
      <c r="Z49" s="96"/>
      <c r="AA49" s="90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</row>
    <row r="50" spans="1:190" s="51" customFormat="1" ht="39" hidden="1" customHeight="1" x14ac:dyDescent="0.25">
      <c r="AA50" s="90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</row>
    <row r="51" spans="1:190" s="97" customFormat="1" ht="36.75" customHeight="1" x14ac:dyDescent="0.25">
      <c r="B51" s="98" t="s">
        <v>50</v>
      </c>
      <c r="C51" s="99"/>
      <c r="D51" s="99"/>
      <c r="E51" s="99"/>
      <c r="F51" s="99"/>
      <c r="G51" s="99"/>
      <c r="H51" s="99"/>
      <c r="I51" s="98"/>
      <c r="J51" s="100"/>
      <c r="R51" s="97" t="s">
        <v>51</v>
      </c>
      <c r="U51" s="101"/>
      <c r="V51" s="102"/>
      <c r="W51" s="97" t="s">
        <v>52</v>
      </c>
      <c r="AA51" s="103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O51" s="104"/>
      <c r="BP51" s="104"/>
      <c r="BQ51" s="104"/>
      <c r="BR51" s="104"/>
      <c r="BS51" s="104"/>
      <c r="BT51" s="104"/>
      <c r="BU51" s="104"/>
      <c r="BV51" s="104"/>
      <c r="BW51" s="104"/>
      <c r="BX51" s="104"/>
      <c r="BY51" s="104"/>
      <c r="BZ51" s="104"/>
      <c r="CA51" s="104"/>
      <c r="CB51" s="104"/>
      <c r="CC51" s="104"/>
      <c r="CD51" s="104"/>
      <c r="CE51" s="104"/>
      <c r="CF51" s="104"/>
      <c r="CG51" s="104"/>
      <c r="CH51" s="104"/>
      <c r="CI51" s="104"/>
      <c r="CJ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  <c r="DE51" s="104"/>
      <c r="DF51" s="104"/>
      <c r="DG51" s="104"/>
      <c r="DH51" s="104"/>
      <c r="DI51" s="104"/>
      <c r="DJ51" s="104"/>
      <c r="DK51" s="104"/>
      <c r="DL51" s="104"/>
      <c r="DM51" s="104"/>
      <c r="DN51" s="104"/>
      <c r="DO51" s="104"/>
      <c r="DP51" s="104"/>
      <c r="DQ51" s="104"/>
      <c r="DR51" s="104"/>
      <c r="DS51" s="104"/>
      <c r="DT51" s="104"/>
      <c r="DU51" s="104"/>
      <c r="DV51" s="104"/>
      <c r="DW51" s="104"/>
      <c r="DX51" s="104"/>
      <c r="DY51" s="104"/>
      <c r="DZ51" s="104"/>
      <c r="EA51" s="104"/>
      <c r="EB51" s="104"/>
      <c r="EC51" s="104"/>
      <c r="ED51" s="104"/>
      <c r="EE51" s="104"/>
      <c r="EF51" s="104"/>
      <c r="EG51" s="104"/>
      <c r="EH51" s="104"/>
      <c r="EI51" s="104"/>
      <c r="EJ51" s="104"/>
      <c r="EK51" s="104"/>
      <c r="EL51" s="104"/>
      <c r="EM51" s="104"/>
      <c r="EN51" s="104"/>
      <c r="EO51" s="104"/>
      <c r="EP51" s="104"/>
      <c r="EQ51" s="104"/>
      <c r="ER51" s="104"/>
      <c r="ES51" s="104"/>
      <c r="ET51" s="104"/>
      <c r="EU51" s="104"/>
      <c r="EV51" s="104"/>
      <c r="EW51" s="104"/>
      <c r="EX51" s="104"/>
      <c r="EY51" s="104"/>
      <c r="EZ51" s="104"/>
      <c r="FA51" s="104"/>
      <c r="FB51" s="104"/>
      <c r="FC51" s="104"/>
      <c r="FD51" s="104"/>
      <c r="FE51" s="104"/>
      <c r="FF51" s="104"/>
      <c r="FG51" s="104"/>
      <c r="FH51" s="104"/>
      <c r="FI51" s="104"/>
      <c r="FJ51" s="104"/>
      <c r="FK51" s="104"/>
      <c r="FL51" s="104"/>
      <c r="FM51" s="104"/>
      <c r="FN51" s="104"/>
      <c r="FO51" s="104"/>
      <c r="FP51" s="104"/>
      <c r="FQ51" s="104"/>
      <c r="FR51" s="104"/>
      <c r="FS51" s="104"/>
      <c r="FT51" s="104"/>
      <c r="FU51" s="104"/>
      <c r="FV51" s="104"/>
      <c r="FW51" s="104"/>
      <c r="FX51" s="104"/>
      <c r="FY51" s="104"/>
      <c r="FZ51" s="104"/>
      <c r="GA51" s="104"/>
      <c r="GB51" s="104"/>
      <c r="GC51" s="104"/>
      <c r="GD51" s="104"/>
      <c r="GE51" s="104"/>
      <c r="GF51" s="104"/>
      <c r="GG51" s="104"/>
      <c r="GH51" s="104"/>
    </row>
    <row r="52" spans="1:190" s="90" customFormat="1" ht="13.5" customHeight="1" x14ac:dyDescent="0.25">
      <c r="B52" s="51"/>
      <c r="C52" s="51"/>
      <c r="D52" s="51"/>
      <c r="E52" s="51"/>
      <c r="F52" s="51"/>
      <c r="H52" s="51"/>
      <c r="I52" s="51"/>
      <c r="J52" s="105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</row>
  </sheetData>
  <mergeCells count="88">
    <mergeCell ref="S1:W1"/>
    <mergeCell ref="I9:I17"/>
    <mergeCell ref="J9:J17"/>
    <mergeCell ref="K9:L11"/>
    <mergeCell ref="M9:U11"/>
    <mergeCell ref="V9:V17"/>
    <mergeCell ref="W9:W17"/>
    <mergeCell ref="R12:R17"/>
    <mergeCell ref="S12:S17"/>
    <mergeCell ref="N12:N17"/>
    <mergeCell ref="O12:O17"/>
    <mergeCell ref="P12:P17"/>
    <mergeCell ref="Q12:Q17"/>
    <mergeCell ref="B8:R8"/>
    <mergeCell ref="U3:Z3"/>
    <mergeCell ref="U4:Z4"/>
    <mergeCell ref="G12:G17"/>
    <mergeCell ref="H12:H17"/>
    <mergeCell ref="K12:L15"/>
    <mergeCell ref="M12:M17"/>
    <mergeCell ref="A24:A25"/>
    <mergeCell ref="B24:B25"/>
    <mergeCell ref="C24:C25"/>
    <mergeCell ref="D24:D25"/>
    <mergeCell ref="E24:E25"/>
    <mergeCell ref="F12:F17"/>
    <mergeCell ref="A9:A17"/>
    <mergeCell ref="B9:B17"/>
    <mergeCell ref="C9:C17"/>
    <mergeCell ref="D9:D17"/>
    <mergeCell ref="E9:E17"/>
    <mergeCell ref="W24:W25"/>
    <mergeCell ref="X24:X25"/>
    <mergeCell ref="Y24:Y25"/>
    <mergeCell ref="Z24:Z25"/>
    <mergeCell ref="I24:I25"/>
    <mergeCell ref="X9:X17"/>
    <mergeCell ref="Y9:Y17"/>
    <mergeCell ref="Z9:Z17"/>
    <mergeCell ref="T12:U16"/>
    <mergeCell ref="K16:K17"/>
    <mergeCell ref="L16:L17"/>
    <mergeCell ref="Z26:Z28"/>
    <mergeCell ref="A29:A31"/>
    <mergeCell ref="B29:B31"/>
    <mergeCell ref="C29:C31"/>
    <mergeCell ref="D29:D31"/>
    <mergeCell ref="E29:E31"/>
    <mergeCell ref="I29:I31"/>
    <mergeCell ref="O29:O31"/>
    <mergeCell ref="P29:P31"/>
    <mergeCell ref="Q29:Q31"/>
    <mergeCell ref="O26:O28"/>
    <mergeCell ref="P26:P28"/>
    <mergeCell ref="Q26:Q28"/>
    <mergeCell ref="W26:W28"/>
    <mergeCell ref="X26:X28"/>
    <mergeCell ref="A26:A28"/>
    <mergeCell ref="Y26:Y28"/>
    <mergeCell ref="A32:A33"/>
    <mergeCell ref="B32:B33"/>
    <mergeCell ref="C32:C33"/>
    <mergeCell ref="D32:D33"/>
    <mergeCell ref="E32:E33"/>
    <mergeCell ref="I26:I28"/>
    <mergeCell ref="B26:B28"/>
    <mergeCell ref="C26:C28"/>
    <mergeCell ref="D26:D28"/>
    <mergeCell ref="E26:E28"/>
    <mergeCell ref="I35:I37"/>
    <mergeCell ref="W29:W31"/>
    <mergeCell ref="X29:X31"/>
    <mergeCell ref="Y29:Y31"/>
    <mergeCell ref="Z29:Z31"/>
    <mergeCell ref="I32:I33"/>
    <mergeCell ref="W35:W37"/>
    <mergeCell ref="X35:X37"/>
    <mergeCell ref="Y35:Y37"/>
    <mergeCell ref="Z35:Z37"/>
    <mergeCell ref="W32:W33"/>
    <mergeCell ref="X32:X33"/>
    <mergeCell ref="Y32:Y33"/>
    <mergeCell ref="Z32:Z33"/>
    <mergeCell ref="A35:A37"/>
    <mergeCell ref="B35:B37"/>
    <mergeCell ref="C35:C37"/>
    <mergeCell ref="D35:D37"/>
    <mergeCell ref="E35:E37"/>
  </mergeCells>
  <printOptions horizontalCentered="1" verticalCentered="1"/>
  <pageMargins left="0.31496062992125984" right="0.31496062992125984" top="0.55118110236220474" bottom="0.55118110236220474" header="0.31496062992125984" footer="0.31496062992125984"/>
  <pageSetup paperSize="9" scale="59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школа 01.01.21 (2)</vt:lpstr>
      <vt:lpstr>'школа 01.01.21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Boss</cp:lastModifiedBy>
  <cp:lastPrinted>2020-11-25T11:57:23Z</cp:lastPrinted>
  <dcterms:created xsi:type="dcterms:W3CDTF">2020-10-30T07:11:23Z</dcterms:created>
  <dcterms:modified xsi:type="dcterms:W3CDTF">2020-11-26T09:45:13Z</dcterms:modified>
</cp:coreProperties>
</file>